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11592" tabRatio="784" activeTab="2"/>
  </bookViews>
  <sheets>
    <sheet name="ParamSmtp" sheetId="1" r:id="rId1"/>
    <sheet name="Param" sheetId="2" r:id="rId2"/>
    <sheet name="Saisie" sheetId="3" r:id="rId3"/>
    <sheet name="GARANT" sheetId="4" state="hidden" r:id="rId4"/>
    <sheet name="quittanceavis" sheetId="5" r:id="rId5"/>
    <sheet name="DDG" sheetId="6" state="hidden" r:id="rId6"/>
    <sheet name="EDL" sheetId="7" state="hidden" r:id="rId7"/>
    <sheet name="EDL00" sheetId="8" state="hidden" r:id="rId8"/>
    <sheet name="EDL01" sheetId="9" state="hidden" r:id="rId9"/>
    <sheet name="EDL00_2" sheetId="10" state="hidden" r:id="rId10"/>
    <sheet name="BAIL" sheetId="11" state="hidden" r:id="rId11"/>
    <sheet name="Feuil1" sheetId="12" state="hidden" r:id="rId12"/>
    <sheet name="REVISION_LOYER" sheetId="13" r:id="rId13"/>
  </sheets>
  <externalReferences>
    <externalReference r:id="rId16"/>
    <externalReference r:id="rId17"/>
  </externalReferences>
  <definedNames>
    <definedName name="_xlfn.COUNTIFS" hidden="1">#NAME?</definedName>
    <definedName name="_xlfn.IFERROR" hidden="1">#NAME?</definedName>
    <definedName name="_xlfn.PDURATION" hidden="1">#NAME?</definedName>
    <definedName name="_xlfn.SINGLE" hidden="1">#NAME?</definedName>
    <definedName name="adresseBailleur" localSheetId="4">'quittanceavis'!$A$10</definedName>
    <definedName name="Année_trimestre_IRL">'REVISION_LOYER'!$F$24</definedName>
    <definedName name="app_1">'Saisie'!$AD$5</definedName>
    <definedName name="app_10">'Saisie'!$AD$24</definedName>
    <definedName name="app_11">'Saisie'!$AD$20</definedName>
    <definedName name="app_12">'Saisie'!$AD$12</definedName>
    <definedName name="app_13">'Saisie'!$AD$15</definedName>
    <definedName name="app_14">'Saisie'!$AD$16</definedName>
    <definedName name="app_15">'Saisie'!$AH$14</definedName>
    <definedName name="app_16">'Saisie'!$AH$15</definedName>
    <definedName name="app_17">'Saisie'!$AH$16</definedName>
    <definedName name="app_18">'Saisie'!$AH$5</definedName>
    <definedName name="app_19">'Saisie'!$AH$6</definedName>
    <definedName name="app_2">'Saisie'!$AD$9</definedName>
    <definedName name="app_20">'Saisie'!$AH$7</definedName>
    <definedName name="app_21">'Saisie'!$AH$8</definedName>
    <definedName name="app_22">'Saisie'!$AH$9</definedName>
    <definedName name="app_23">'Saisie'!$AH$10</definedName>
    <definedName name="app_24">'Saisie'!$AH$11</definedName>
    <definedName name="app_25">'Saisie'!$AH$17</definedName>
    <definedName name="app_26">'Saisie'!$AH$18</definedName>
    <definedName name="app_27">'Saisie'!$AH$12</definedName>
    <definedName name="app_28">'Saisie'!$AD$21</definedName>
    <definedName name="app_29">'Saisie'!$AD$7</definedName>
    <definedName name="app_3">'Saisie'!$AD$10</definedName>
    <definedName name="app_30">'Saisie'!$AH$21</definedName>
    <definedName name="app_31">'Saisie'!$AH$23</definedName>
    <definedName name="app_32">'Saisie'!$AH$24</definedName>
    <definedName name="app_33">'Saisie'!$AH$25</definedName>
    <definedName name="app_34">'Saisie'!$AH$26</definedName>
    <definedName name="app_35">'Saisie'!$AH$27</definedName>
    <definedName name="app_36">'Saisie'!$AH$28</definedName>
    <definedName name="app_37">'Saisie'!$AH$29</definedName>
    <definedName name="app_38">'Saisie'!$AH$30</definedName>
    <definedName name="app_39">'Saisie'!$AC$27</definedName>
    <definedName name="app_4">'Saisie'!$AD$11</definedName>
    <definedName name="app_40">'Saisie'!$AD$6</definedName>
    <definedName name="app_5">'Saisie'!$AD$14</definedName>
    <definedName name="app_6">'Saisie'!$AD$13</definedName>
    <definedName name="app_7">'Saisie'!$AD$18</definedName>
    <definedName name="app_8">'Saisie'!$AD$19</definedName>
    <definedName name="app_9">'Saisie'!$AD$23</definedName>
    <definedName name="app_Id">'Saisie'!$AC$4</definedName>
    <definedName name="Appartement" localSheetId="3">#REF!</definedName>
    <definedName name="Appartement" localSheetId="12">#REF!</definedName>
    <definedName name="Appartement">'Saisie'!$F$1</definedName>
    <definedName name="appartementAction">'Saisie'!$AC$3</definedName>
    <definedName name="apptListe" localSheetId="3">#REF!</definedName>
    <definedName name="apptListe" localSheetId="12">#REF!</definedName>
    <definedName name="apptListe">#REF!</definedName>
    <definedName name="au" localSheetId="4">'quittanceavis'!$A$4</definedName>
    <definedName name="Bailleur" localSheetId="3">#REF!</definedName>
    <definedName name="Bailleur" localSheetId="12">#REF!</definedName>
    <definedName name="Bailleur">'Saisie'!$F$49</definedName>
    <definedName name="bailleurAction">'Saisie'!$S$3</definedName>
    <definedName name="BailleurAdresse">'Saisie'!$U$8</definedName>
    <definedName name="BailleurBic">'Saisie'!$U$12</definedName>
    <definedName name="bailleurCiv">'Saisie'!$U$5</definedName>
    <definedName name="bailleurId">'Saisie'!$S$4</definedName>
    <definedName name="bailleurListe">#REF!</definedName>
    <definedName name="BailleurMail">'Saisie'!$U$11</definedName>
    <definedName name="BailleurNom">'Saisie'!$U$6</definedName>
    <definedName name="BailleurPrenom">'Saisie'!$U$7</definedName>
    <definedName name="BailleurSigMail">'Saisie'!$U$13</definedName>
    <definedName name="BailleurTelephone">'Saisie'!$U$10</definedName>
    <definedName name="BailleurVille">'Saisie'!$U$9</definedName>
    <definedName name="boutonGenerer">"Rectangle à coins arrondis 31"</definedName>
    <definedName name="ch_Appartement">'Saisie'!$L$15</definedName>
    <definedName name="ch_Bailleur">'Saisie'!$L$12</definedName>
    <definedName name="ch_Locataire">'Saisie'!$L$18</definedName>
    <definedName name="Couleur">'Saisie'!$C$21</definedName>
    <definedName name="dateFacture" localSheetId="4">'quittanceavis'!$A$3</definedName>
    <definedName name="dateFacture1" localSheetId="4">'quittanceavis'!$A$35</definedName>
    <definedName name="datePaiement" localSheetId="4">'quittanceavis'!$D$27</definedName>
    <definedName name="destinataire">'Param'!$B$1</definedName>
    <definedName name="destinataireCopie">'ParamSmtp'!$B$5</definedName>
    <definedName name="document">'Saisie'!$C$18</definedName>
    <definedName name="expediteur">'ParamSmtp'!$B$3</definedName>
    <definedName name="FRANCS" localSheetId="10">'[1]Emprunt'!#REF!</definedName>
    <definedName name="FRANCS" localSheetId="3">'[1]Emprunt'!#REF!</definedName>
    <definedName name="FRANCS" localSheetId="12">'[1]Emprunt'!#REF!</definedName>
    <definedName name="FRANCS">'[1]Emprunt'!#REF!</definedName>
    <definedName name="garantCNP">'BAIL'!$H$118</definedName>
    <definedName name="lieuFacture" localSheetId="10">'BAIL'!$A$156</definedName>
    <definedName name="Locataire" localSheetId="3">#REF!</definedName>
    <definedName name="locataire" localSheetId="4">'quittanceavis'!$A$17</definedName>
    <definedName name="Locataire" localSheetId="12">#REF!</definedName>
    <definedName name="Locataire">'Saisie'!$I$1</definedName>
    <definedName name="locataireAction">'Saisie'!$X$3</definedName>
    <definedName name="LocataireArrivee">'Saisie'!$Z$10</definedName>
    <definedName name="locataireCiv">'Saisie'!$Z$5</definedName>
    <definedName name="LocataireDepart">'Saisie'!$Z$11</definedName>
    <definedName name="locataireId">'Saisie'!$X$4</definedName>
    <definedName name="locataireMail">'Saisie'!$Z$9</definedName>
    <definedName name="locataireNom">'Saisie'!$Z$6</definedName>
    <definedName name="locatairePrenom">'Saisie'!$Z$7</definedName>
    <definedName name="locataireTelephone">'Saisie'!$Z$8</definedName>
    <definedName name="locListe">#REF!</definedName>
    <definedName name="mailbailleur" localSheetId="4">'quittanceavis'!$A$12</definedName>
    <definedName name="maillocataire" localSheetId="4">'quittanceavis'!$A$21</definedName>
    <definedName name="maListe">'[2]Liste'!$A$2:$F$3</definedName>
    <definedName name="Montant_charges">'REVISION_LOYER'!$F$30</definedName>
    <definedName name="Montant_IRL_du_bail">'REVISION_LOYER'!$F$26</definedName>
    <definedName name="montant_loyer">'REVISION_LOYER'!$F$28</definedName>
    <definedName name="New_IRL">'REVISION_LOYER'!$F$27</definedName>
    <definedName name="nouveau_loyer">'REVISION_LOYER'!$F$29</definedName>
    <definedName name="numeroTrimIRL">'REVISION_LOYER'!$F$25</definedName>
    <definedName name="Objet">'Param'!$B$2</definedName>
    <definedName name="Paramètres_SMTP_OK">'ParamSmtp'!$B$7</definedName>
    <definedName name="psw">'ParamSmtp'!$B$4</definedName>
    <definedName name="resultats" localSheetId="3">#REF!</definedName>
    <definedName name="resultats" localSheetId="12">#REF!</definedName>
    <definedName name="resultats">#REF!</definedName>
    <definedName name="serveurPort">'ParamSmtp'!$B$2</definedName>
    <definedName name="serveurSMTP">'ParamSmtp'!$B$1</definedName>
    <definedName name="telbailleur" localSheetId="4">'quittanceavis'!$A$11</definedName>
    <definedName name="tellocataire" localSheetId="4">'quittanceavis'!$A$20</definedName>
    <definedName name="theBody">'Param'!$B$3</definedName>
    <definedName name="theFile">'Param'!$B$11</definedName>
    <definedName name="trancheImpots" localSheetId="10">#REF!</definedName>
    <definedName name="trancheImpots" localSheetId="3">#REF!</definedName>
    <definedName name="trancheImpots" localSheetId="12">#REF!</definedName>
    <definedName name="trancheImpots">#REF!</definedName>
    <definedName name="_xlnm.Print_Area" localSheetId="10">'BAIL'!$A$1:$F$168</definedName>
    <definedName name="_xlnm.Print_Area" localSheetId="5">'DDG'!$A$1:$B$44</definedName>
    <definedName name="_xlnm.Print_Area" localSheetId="3">'GARANT'!$A$1:$A$25</definedName>
    <definedName name="_xlnm.Print_Area" localSheetId="4">'quittanceavis'!$A$1:$E$48</definedName>
    <definedName name="_xlnm.Print_Area" localSheetId="12">'REVISION_LOYER'!$A$1:$A$43</definedName>
  </definedNames>
  <calcPr fullCalcOnLoad="1"/>
</workbook>
</file>

<file path=xl/sharedStrings.xml><?xml version="1.0" encoding="utf-8"?>
<sst xmlns="http://schemas.openxmlformats.org/spreadsheetml/2006/main" count="614" uniqueCount="339">
  <si>
    <t>PRENOM</t>
  </si>
  <si>
    <t>CP</t>
  </si>
  <si>
    <t>Ville</t>
  </si>
  <si>
    <t>Nom</t>
  </si>
  <si>
    <t>Prenom</t>
  </si>
  <si>
    <t>Date du paiement</t>
  </si>
  <si>
    <t>Prénom</t>
  </si>
  <si>
    <t>N°</t>
  </si>
  <si>
    <t>Rue</t>
  </si>
  <si>
    <t>Type Voie</t>
  </si>
  <si>
    <t>Civ</t>
  </si>
  <si>
    <t>Montant Loyer</t>
  </si>
  <si>
    <t>Montant toutes lettres</t>
  </si>
  <si>
    <t>Periode du</t>
  </si>
  <si>
    <t>au</t>
  </si>
  <si>
    <t>Appartement</t>
  </si>
  <si>
    <t>Bailleur</t>
  </si>
  <si>
    <t>Selection</t>
  </si>
  <si>
    <t>Lieu Facture</t>
  </si>
  <si>
    <t>VILLE</t>
  </si>
  <si>
    <t>Loyer en chiffre</t>
  </si>
  <si>
    <t>Locataire</t>
  </si>
  <si>
    <t>Type d’habitat :</t>
  </si>
  <si>
    <t>Période de construction </t>
  </si>
  <si>
    <t>Surface habitable </t>
  </si>
  <si>
    <t>Nombre de pièces principales</t>
  </si>
  <si>
    <t>Production de chauffage :</t>
  </si>
  <si>
    <t>Production d'eau chaude sanitaire</t>
  </si>
  <si>
    <t>Régime juridique de l’immeuble :</t>
  </si>
  <si>
    <t>Collectif (appartement)</t>
  </si>
  <si>
    <t>Copropriété</t>
  </si>
  <si>
    <t>1970 à 1989</t>
  </si>
  <si>
    <t>Collectif</t>
  </si>
  <si>
    <t>Complément adresse</t>
  </si>
  <si>
    <t>Etage</t>
  </si>
  <si>
    <t>Escalier</t>
  </si>
  <si>
    <t>Dépôt de Garantie</t>
  </si>
  <si>
    <t>Mail</t>
  </si>
  <si>
    <t>Téléphone</t>
  </si>
  <si>
    <t>Adresse Complète</t>
  </si>
  <si>
    <t>Date d'émission</t>
  </si>
  <si>
    <t>Détail du règlement</t>
  </si>
  <si>
    <t>Période</t>
  </si>
  <si>
    <t>Nombre de chambre</t>
  </si>
  <si>
    <t>nombre de SDB</t>
  </si>
  <si>
    <t>Cuisine / Séjour séparé</t>
  </si>
  <si>
    <t>Nombre de WC</t>
  </si>
  <si>
    <t>ETAT DES LIEUX</t>
  </si>
  <si>
    <t>Nom :</t>
  </si>
  <si>
    <t>Adresse :</t>
  </si>
  <si>
    <t>Téléphone :</t>
  </si>
  <si>
    <t>e-mail :</t>
  </si>
  <si>
    <t>PROPRIETAIRE(ou son représentant)</t>
  </si>
  <si>
    <t>ADRESSE DES LOCAUX</t>
  </si>
  <si>
    <t>Neuf</t>
  </si>
  <si>
    <t xml:space="preserve">Très bon état </t>
  </si>
  <si>
    <t>Etat moyen</t>
  </si>
  <si>
    <t>Mauvais état</t>
  </si>
  <si>
    <t>Commentaires</t>
  </si>
  <si>
    <t>Code Postal</t>
  </si>
  <si>
    <t>Type d’habitat</t>
  </si>
  <si>
    <t>DATE D'ENTREE</t>
  </si>
  <si>
    <t>DATE DE SORTIE</t>
  </si>
  <si>
    <t xml:space="preserve">Le BAILLEUR
Signature précédée de la mention manuscrite
« lu et approuvé »
</t>
  </si>
  <si>
    <t xml:space="preserve"> Commentaires générales :</t>
  </si>
  <si>
    <t>Nombre de SDB avec WC</t>
  </si>
  <si>
    <t>Nombre de SDB et WC</t>
  </si>
  <si>
    <t>Nombre de clés</t>
  </si>
  <si>
    <t>A ECHOIR</t>
  </si>
  <si>
    <t>Document</t>
  </si>
  <si>
    <t>Objet : Reçu de dépôt de garantie</t>
  </si>
  <si>
    <t>Signatures</t>
  </si>
  <si>
    <t>Mode Règlement</t>
  </si>
  <si>
    <t>Liste des clés</t>
  </si>
  <si>
    <t>BIC IBAN</t>
  </si>
  <si>
    <t>BIC - IBAN</t>
  </si>
  <si>
    <t>Dépôt de garantie en lettre</t>
  </si>
  <si>
    <t>Nombre de WC séparé</t>
  </si>
  <si>
    <t xml:space="preserve">Soumis au titre Ier de la loi du 6 juillet 1989 tendant à améliorer les rapports locatifs 
et portant modification de la loi n° 86-1290 du 23 décembre 1986
</t>
  </si>
  <si>
    <t>I. Designation des parties</t>
  </si>
  <si>
    <t>Le présent contrat est conclu entre les soussignés :</t>
  </si>
  <si>
    <t>LE BAILLEUR</t>
  </si>
  <si>
    <r>
      <t>Ci après dénommé « </t>
    </r>
    <r>
      <rPr>
        <b/>
        <sz val="10"/>
        <rFont val="Calibri"/>
        <family val="2"/>
      </rPr>
      <t>le bailleur</t>
    </r>
    <r>
      <rPr>
        <sz val="10"/>
        <rFont val="Calibri"/>
        <family val="2"/>
      </rPr>
      <t xml:space="preserve"> »</t>
    </r>
  </si>
  <si>
    <t>II. Objet du contrat</t>
  </si>
  <si>
    <t>A. CONSISTENCE DU LOGEMENT</t>
  </si>
  <si>
    <t xml:space="preserve">− Autres parties du logement : </t>
  </si>
  <si>
    <t>B. DESTINATION DES LOCAUX</t>
  </si>
  <si>
    <t>Aires et équipements de jeux</t>
  </si>
  <si>
    <t>Gardiennage</t>
  </si>
  <si>
    <t>Ascenseur</t>
  </si>
  <si>
    <t>Local Poubelle</t>
  </si>
  <si>
    <t>Espace(s) vert(s)</t>
  </si>
  <si>
    <t>Chauffage collectif</t>
  </si>
  <si>
    <t>D. ENUMÉRATION DES LOCAUX, PARTIES, ÉQUIPEMENTS ET ACCESSOIRES DE L'IMMEUBLE À USAGE COMMUN</t>
  </si>
  <si>
    <t>Usage d'habitation</t>
  </si>
  <si>
    <t>Usage mixte professionnel et d'habitation</t>
  </si>
  <si>
    <t>Laverie</t>
  </si>
  <si>
    <t>Local à vélo</t>
  </si>
  <si>
    <t>Néant</t>
  </si>
  <si>
    <t>E. EQUIPEMENT D'ACCÈS AUX TECHNOLOGIES DE L'INFORMATION ET DE LA COMMUNICATION</t>
  </si>
  <si>
    <t>Réception TV par antenne hertzienne « type râteau »</t>
  </si>
  <si>
    <t>Connexion Internet</t>
  </si>
  <si>
    <t>III. Date de prise d'effet et durée du contrat</t>
  </si>
  <si>
    <t xml:space="preserve">A. DATE DE PRISE D'EFFET DU CONTRAT </t>
  </si>
  <si>
    <t>La durée du contrat et sa date de prise d'effet sont ainsi définies :</t>
  </si>
  <si>
    <t>DATE</t>
  </si>
  <si>
    <t xml:space="preserve">B. DURÉE DU CONTRAT </t>
  </si>
  <si>
    <t xml:space="preserve">Le contrat de location est établi pour une durée initiale de 1 an soit jusqu’au </t>
  </si>
  <si>
    <t>IV. Conditions financières</t>
  </si>
  <si>
    <t>Les parties conviennent des conditions financières suivantes :</t>
  </si>
  <si>
    <t>A. LOYER</t>
  </si>
  <si>
    <t>B. CHARGES</t>
  </si>
  <si>
    <t>C. MODALITÉS DE PAIEMENT</t>
  </si>
  <si>
    <t xml:space="preserve">Montant du loyer mensuel : </t>
  </si>
  <si>
    <t>1° Fixation du loyer initial</t>
  </si>
  <si>
    <t>2° Modalités de révision*</t>
  </si>
  <si>
    <t>a) Date de révision : chaque année à date anniversaire soit le :</t>
  </si>
  <si>
    <t>Le montant des charges est compris dans le loyer.</t>
  </si>
  <si>
    <t>Périodicité du paiement</t>
  </si>
  <si>
    <t>Paiement</t>
  </si>
  <si>
    <t>Date de paiement</t>
  </si>
  <si>
    <t>Mode de paiement</t>
  </si>
  <si>
    <t>Mensuel</t>
  </si>
  <si>
    <t>Le 2 du mois en cours</t>
  </si>
  <si>
    <t>V. Garanties</t>
  </si>
  <si>
    <t>PARTIE POUR BAIL</t>
  </si>
  <si>
    <t>C. DÉSIGNATION DES LOCAUX ET ÉQUIPEMENTS ACCESSOIRES DE L'IMMEUBLE À USAGE PRIVATIF…</t>
  </si>
  <si>
    <t>Oui</t>
  </si>
  <si>
    <t>Non</t>
  </si>
  <si>
    <t>- à entretenir les locaux en état de servir à l’usage prévu par le contrat et à y faire toutes les réparations, autres que locatives, nécessaires au maintien en état et à l’entretien normal des locaux loués </t>
  </si>
  <si>
    <t>Le Bailleur s’engage :</t>
  </si>
  <si>
    <t>- à payer le loyer (charges comprises) aux termes convenus ; </t>
  </si>
  <si>
    <t xml:space="preserve">- à user paisiblement des locaux loués suivant leur destination prévue au contrat ; </t>
  </si>
  <si>
    <t>- à ne pas céder ou sous-louer les locaux loués ;</t>
  </si>
  <si>
    <t>- à répondre des dégradations et des pertes qui surviennent pendant la durée du bail, sauf cas de force majeure, faute du Bailleur ou fait d’un tiers qu’il n’a pas introduit dans le logement ;</t>
  </si>
  <si>
    <t xml:space="preserve">- à laisser exécuter dans les lieux loués les travaux d’amélioration des parties communes ou des parties privatives du même immeuble, ainsi que les travaux nécessaires au maintien en état et à l’entretien normal des locaux loués ; </t>
  </si>
  <si>
    <t xml:space="preserve">- à ne pas transformer les locaux et équipements loués sans l’accord préalable et écrit du Bailleur ; </t>
  </si>
  <si>
    <t>VII. Clause de solidarité</t>
  </si>
  <si>
    <t>VIII. Clause résolutoire</t>
  </si>
  <si>
    <t>Le présent contrat peut être résilié de plein droit par le bailleur en cas de :</t>
  </si>
  <si>
    <t>- défaut de paiement du loyer aux termes convenus.</t>
  </si>
  <si>
    <t>- non-respect de l’obligation d’user paisiblement des locaux loués résultant de troubles de voisinage</t>
  </si>
  <si>
    <t>- défaut d’assurance habitation.</t>
  </si>
  <si>
    <t>- tout autre évènement ou mauvais usage avéré pouvant mettre en péril l’intégrité des biens loués</t>
  </si>
  <si>
    <t>Couleur</t>
  </si>
  <si>
    <t xml:space="preserve">Bailleur : </t>
  </si>
  <si>
    <t>Appartement :</t>
  </si>
  <si>
    <t>Locataire :</t>
  </si>
  <si>
    <t>Bic - IBAN</t>
  </si>
  <si>
    <t>Date Emission :</t>
  </si>
  <si>
    <t>Du :</t>
  </si>
  <si>
    <t>Au :</t>
  </si>
  <si>
    <t>Date Paiement :</t>
  </si>
  <si>
    <t>Type de location</t>
  </si>
  <si>
    <t>Adresse</t>
  </si>
  <si>
    <t>Nombre de SDB</t>
  </si>
  <si>
    <t xml:space="preserve">Production de chauffage </t>
  </si>
  <si>
    <t>Dépôt de garantie en chiffre</t>
  </si>
  <si>
    <t>En cours...</t>
  </si>
  <si>
    <t>Les constatations ci-dessus sont reconnues exactes par les parties qui signent le présent état des lieux de sortie. 
Les parties ont pris connaissance de l’article 1731 du code civil qui stipule que :
« S’il n’a pas été fait d’état des lieux, le preneur est présumé les avoir reçus en bon état de réparations locatives, et doit les rendre tels, sauf la preuve contraire »</t>
  </si>
  <si>
    <t>VI. Obligations des parties</t>
  </si>
  <si>
    <t>Les constatations ci-dessus sont reconnues exactes par les parties qui signent le présent état des lieux d’entrée. Le locataire doit veiller à maintenir en l’état le logement qu’il occupe. Il doit assurer l’entretien normal du logement et de ses équipements.
Le bailleur peut retenir sur la caution les sommes correspondant aux réparations locatives.
Les parties ont pris connaissance de l’article 1731 du code civil qui stipule que :
« S’il n’a pas été fait d’état des lieux, le preneur est présumé les avoir reçus en bon état de réparations locatives, et doit les rendre tels, sauf la preuve contraire »</t>
  </si>
  <si>
    <t>Pas de modification</t>
  </si>
  <si>
    <t>En l'absence de proposition de renouvellement du contrat, celui-ci est, à son terme, reconduit tacitement pour 1 an et dans les mêmes conditions. Le locataire peut  mettre fin au bail à tout moment, après avoir donné congé en respectant la durée de préavis de 1 mois. Le bailleur, quant à lui, peut mettre fin au bail à son échéance et après avoir donné congé, soit pour reprendre le logement en vue de l'occuper lui-même ou une personne de sa famille, soit pour le vendre, soit pour un motif sérieux et légitime.</t>
  </si>
  <si>
    <t>- à remettre au locataire un logement décent en bon état d’usage et de réparation</t>
  </si>
  <si>
    <t>- à remettre au colocataire un logement décent en bon état d’usage et de réparation</t>
  </si>
  <si>
    <t xml:space="preserve">- à assurer au locataire la jouissance paisible des lieux loués et à le garantir des vices ou défauts de nature à y faire obstacle </t>
  </si>
  <si>
    <t>- à assurer au colocataire la jouissance paisible des lieux loués et à le garantir des vices ou défauts de nature à y faire obstacle</t>
  </si>
  <si>
    <t>Colocation</t>
  </si>
  <si>
    <t>Colocataire</t>
  </si>
  <si>
    <t>Location</t>
  </si>
  <si>
    <t>LE COLOCATAIRE
Signature précédée de la mention manuscrite
«lu et approuvé»</t>
  </si>
  <si>
    <t>LE LOCATAIRE
Signature précédée de la mention manuscrite
«lu et approuvé»</t>
  </si>
  <si>
    <t>ENTREE</t>
  </si>
  <si>
    <t>SORTIE</t>
  </si>
  <si>
    <t xml:space="preserve">LE BAILLEUR
Signature précédée de la mention manuscrite
« lu et approuvé »
</t>
  </si>
  <si>
    <t>LE COLOCATAIRE
Signature précédée de la mention manuscrite
« lu et approuvé »</t>
  </si>
  <si>
    <t>LE LOCATAIRE
Signature précédée de la mention manuscrite
« lu et approuvé »</t>
  </si>
  <si>
    <t>Provision de charges</t>
  </si>
  <si>
    <t>Type de charges</t>
  </si>
  <si>
    <t>Montant charge</t>
  </si>
  <si>
    <t>Type de charge</t>
  </si>
  <si>
    <t xml:space="preserve">TOTAL DU LOYER : </t>
  </si>
  <si>
    <t>Type Charges</t>
  </si>
  <si>
    <t>Montant Charges</t>
  </si>
  <si>
    <t>Mr</t>
  </si>
  <si>
    <t>- à payer le loyer et les charges aux termes convenus ; </t>
  </si>
  <si>
    <t>FORFAIT CHARGES</t>
  </si>
  <si>
    <t>Eau, Electricité, Chauffage, Accès Internet</t>
  </si>
  <si>
    <t>Ci après dénommé :</t>
  </si>
  <si>
    <t xml:space="preserve">Eléments d'équipements du logement : </t>
  </si>
  <si>
    <t xml:space="preserve">chambres meublées, cuisine équipée (vaisselle et électroménager), séjour meublé et équipé (canapé, TV, internet)  </t>
  </si>
  <si>
    <t xml:space="preserve">Le contrat de colocation est établi pour une durée initiale de 1 an soit jusqu’au </t>
  </si>
  <si>
    <t>, déduction faite, le cas échéant, des sommes restant dues au BAILLEUR et des paiements dont ce dernier pourrait être tenu pour responsable. Le départ s'entend après complet déménagement et établissement de l'état des lieux et de l'inventaire contradictoire de sortie, exécution des réparations locatives et restitution de toutes les clés.</t>
  </si>
  <si>
    <t xml:space="preserve">Il sera restitué dans un délai maximal de deux mois à compter du départ effectif du </t>
  </si>
  <si>
    <t>En l'absence de proposition de renouvellement du contrat, celui-ci est, à son terme, reconduit tacitement pour 1 an et dans les mêmes conditions. Le colocataire peut  mettre fin au bail à tout moment, après avoir donné congé en respectant la durée de préavis de 1 mois. Le bailleur, quant à lui, peut mettre fin au bail à son échéance et après avoir donné congé, soit pour reprendre le logement en vue de l'occuper lui-même ou une personne de sa famille, soit pour le vendre, soit pour un motif sérieux et légitime.</t>
  </si>
  <si>
    <t>1er</t>
  </si>
  <si>
    <t>-</t>
  </si>
  <si>
    <t>Justin</t>
  </si>
  <si>
    <t>07.81.55.95.79</t>
  </si>
  <si>
    <t>Madame, Monsieur</t>
  </si>
  <si>
    <t>Je reconnais également avoir pris connaissance de l'avant-dernier alinéa de l'article 22-1 de la loi du 6 juillet 1989 ainsi rédigé : "Lorsque le cautionnement d'obligations résultant d'un contrat de location conclu en application du présent titre ne comporte aucune indication de durée ou lorsque la durée du cautionnement est stipulée indéterminée, la caution peut le résilier unilatéralement. La résiliation prend effet au terme du contrat de location, qu'il s'agisse du contrat initial ou d'un contrat reconduit ou renouvelé au cours duquel le bailleur reçoit notification de la résiliation".</t>
  </si>
  <si>
    <t>Fait en 3 exemplaires.</t>
  </si>
  <si>
    <t>Fait à</t>
  </si>
  <si>
    <t>le</t>
  </si>
  <si>
    <t>Signature :</t>
  </si>
  <si>
    <t>Destinataire</t>
  </si>
  <si>
    <t>Objet</t>
  </si>
  <si>
    <t>Message</t>
  </si>
  <si>
    <t>Tél</t>
  </si>
  <si>
    <t>Copie à</t>
  </si>
  <si>
    <t>Si vide popup</t>
  </si>
  <si>
    <t>Mot de passe</t>
  </si>
  <si>
    <t>Expéditeur</t>
  </si>
  <si>
    <t>smtp.googlemail.com</t>
  </si>
  <si>
    <t>Année</t>
  </si>
  <si>
    <t>Mois</t>
  </si>
  <si>
    <t>Equipements</t>
  </si>
  <si>
    <r>
      <t>« </t>
    </r>
    <r>
      <rPr>
        <b/>
        <sz val="10"/>
        <color indexed="49"/>
        <rFont val="Calibri"/>
        <family val="2"/>
      </rPr>
      <t>le colocataire </t>
    </r>
    <r>
      <rPr>
        <sz val="10"/>
        <color indexed="49"/>
        <rFont val="Calibri"/>
        <family val="2"/>
      </rPr>
      <t>»</t>
    </r>
  </si>
  <si>
    <r>
      <t xml:space="preserve"> « </t>
    </r>
    <r>
      <rPr>
        <b/>
        <sz val="10"/>
        <color indexed="49"/>
        <rFont val="Calibri"/>
        <family val="2"/>
      </rPr>
      <t>le locataire </t>
    </r>
    <r>
      <rPr>
        <sz val="10"/>
        <color indexed="49"/>
        <rFont val="Calibri"/>
        <family val="2"/>
      </rPr>
      <t>»</t>
    </r>
  </si>
  <si>
    <t>Mme</t>
  </si>
  <si>
    <t>Reserve</t>
  </si>
  <si>
    <t>Dépôt de garantie nombre</t>
  </si>
  <si>
    <t>réserve</t>
  </si>
  <si>
    <t>Chambre</t>
  </si>
  <si>
    <t xml:space="preserve">Liste bailleur : </t>
  </si>
  <si>
    <t>Sélection appartement :</t>
  </si>
  <si>
    <t>Sélection locataire :</t>
  </si>
  <si>
    <t>Serveur smtp</t>
  </si>
  <si>
    <t>Port serveur</t>
  </si>
  <si>
    <t>Nom d'affichage appartement</t>
  </si>
  <si>
    <t>Bailleur de l'appartement</t>
  </si>
  <si>
    <t>Locataire de l'appartement</t>
  </si>
  <si>
    <t>à</t>
  </si>
  <si>
    <t>é</t>
  </si>
  <si>
    <t>è</t>
  </si>
  <si>
    <t>ê</t>
  </si>
  <si>
    <t>Signature mail</t>
  </si>
  <si>
    <t>SAS</t>
  </si>
  <si>
    <t>Date d'arrivée</t>
  </si>
  <si>
    <t>Date de départ</t>
  </si>
  <si>
    <t>Mr et Mme</t>
  </si>
  <si>
    <t>Anne</t>
  </si>
  <si>
    <t>Date arrivée</t>
  </si>
  <si>
    <t>Date départ</t>
  </si>
  <si>
    <t>Mise à jour Bailleur</t>
  </si>
  <si>
    <t>Mise à jour Appartement</t>
  </si>
  <si>
    <t>La présent contrat fait l’objet d’un cautionnement de CNP Caution, représentée par Youse Home, dans les conditions prévues dans l’acte de cautionnement annexé au présent contrat. Les parties déclarent que cet engagement constitue un élément déterminant du bail, sans lequel le bailleur n’aurait pas consenti la présente location.</t>
  </si>
  <si>
    <t>- Le contrat de cautionnement CNP Caution</t>
  </si>
  <si>
    <t>- Le règlement signé de l’appartement</t>
  </si>
  <si>
    <t>- L'état des lieux de l’appartement</t>
  </si>
  <si>
    <t>X. Autres conditions particulières</t>
  </si>
  <si>
    <r>
      <rPr>
        <b/>
        <sz val="10"/>
        <rFont val="Calibri"/>
        <family val="2"/>
      </rPr>
      <t>A. Interdiction de cession du droit au bail</t>
    </r>
    <r>
      <rPr>
        <sz val="10"/>
        <rFont val="Calibri"/>
        <family val="2"/>
      </rPr>
      <t xml:space="preserve">
Le Locataire ne pourra céder ses droits au présent bail.
</t>
    </r>
    <r>
      <rPr>
        <b/>
        <sz val="10"/>
        <rFont val="Calibri"/>
        <family val="2"/>
      </rPr>
      <t>B. Conditions de sous-location</t>
    </r>
    <r>
      <rPr>
        <sz val="10"/>
        <rFont val="Calibri"/>
        <family val="2"/>
      </rPr>
      <t xml:space="preserve">
Le locataire ne pourra sous-louer ni même prêter tout ou partie des locaux sans l'accord écrit du bailleur, y compris sur le prix du loyer. Conformément à l’article 4-n de la loi n° 89-462 du 6 juillet 1989, il pourra cependant héberger toute personne de son choix à sa convenance.
En cas de sous-location autorisée par le bailleur, le prix au mètre carré de surface habitable des locaux sous-loués ne devra pas excéder celui payé par le « locataire » principal.</t>
    </r>
  </si>
  <si>
    <t>IX. Autres conditions particulières</t>
  </si>
  <si>
    <t>X. Annexes</t>
  </si>
  <si>
    <t>CNP</t>
  </si>
  <si>
    <t>IF</t>
  </si>
  <si>
    <t>Virement</t>
  </si>
  <si>
    <t>15/05/1972</t>
  </si>
  <si>
    <t>Mise à jour Locataire</t>
  </si>
  <si>
    <t>Quittance</t>
  </si>
  <si>
    <t>PARIS</t>
  </si>
  <si>
    <t>justin@lautomatiseur.fr</t>
  </si>
  <si>
    <t>25 RUE DE LA REPUBLIQUE 75014 PARIS</t>
  </si>
  <si>
    <t>THE GERENTON TEAM</t>
  </si>
  <si>
    <t>LOCATAIRE</t>
  </si>
  <si>
    <t>FORFAIT CHARGES : 0 Euros</t>
  </si>
  <si>
    <t>BAILLEUR</t>
  </si>
  <si>
    <t>Objet : Révision annuelle de loyer</t>
  </si>
  <si>
    <t xml:space="preserve">L'augmentation doit respecter l'IRL, l'indice de référence des loyers, publié par l'Insee chaque année. </t>
  </si>
  <si>
    <t xml:space="preserve">Comme le prévoit la loi no 89-462 du 6 juillet 1989 et la clause portant sur l'indexation du loyer prévu dans le bail, le loyer est révisable tous les ans. </t>
  </si>
  <si>
    <t>N°trimestre du bail</t>
  </si>
  <si>
    <t>Montant IRL du bail</t>
  </si>
  <si>
    <t>New IRL</t>
  </si>
  <si>
    <t>3ème</t>
  </si>
  <si>
    <t>Montant loyer</t>
  </si>
  <si>
    <t>Nouveau loyer</t>
  </si>
  <si>
    <t>Année trimestre IRL</t>
  </si>
  <si>
    <t>Montant charges</t>
  </si>
  <si>
    <t>b) Date ou trimestre de référence de l'IRL : dernière valeur connue à ce jour 1er trimestre 2020 = 130,57</t>
  </si>
  <si>
    <t>Pièce jointe</t>
  </si>
  <si>
    <t>support@lautomatiseur.fr</t>
  </si>
  <si>
    <t>LAMBERT Franck</t>
  </si>
  <si>
    <t>GERENTON</t>
  </si>
  <si>
    <t>Signature Mail</t>
  </si>
  <si>
    <t>arrivée</t>
  </si>
  <si>
    <t>départ</t>
  </si>
  <si>
    <t>Equpements</t>
  </si>
  <si>
    <t>LAUTOMATISEUR</t>
  </si>
  <si>
    <t>25 Avenue de la résidence 75016 PARIS</t>
  </si>
  <si>
    <t>BIC : 013546548 - IBAN : 2154565546521</t>
  </si>
  <si>
    <t>Justin LAUTOMATISEUR</t>
  </si>
  <si>
    <t>01.02.03.04.05</t>
  </si>
  <si>
    <t>Mon 1er Appart</t>
  </si>
  <si>
    <t>de Paris</t>
  </si>
  <si>
    <t>Paris</t>
  </si>
  <si>
    <t>TROIS CENT CINQUANTE EUROS</t>
  </si>
  <si>
    <t>C</t>
  </si>
  <si>
    <t>65M²</t>
  </si>
  <si>
    <t>- 1 clé pour la chambre, 
1 clé pour la cave, 
1 clé boîte aux lettres,
 1 clés pour appartement</t>
  </si>
  <si>
    <t>PERSONNEL</t>
  </si>
  <si>
    <t>Justine</t>
  </si>
  <si>
    <t>Vincennes</t>
  </si>
  <si>
    <t>26 Avenue de la résidence 75016 PARIS</t>
  </si>
  <si>
    <t>07.81.55.95.80</t>
  </si>
  <si>
    <t>Justine PERSONNEL
Cdt</t>
  </si>
  <si>
    <t>DURANDS</t>
  </si>
  <si>
    <t>Isabelle</t>
  </si>
  <si>
    <t>01.02.03.04.55</t>
  </si>
  <si>
    <t>2 eme Appart</t>
  </si>
  <si>
    <t>THOMAS</t>
  </si>
  <si>
    <t>Mon 3eme appart</t>
  </si>
  <si>
    <t>Location vide</t>
  </si>
  <si>
    <t>06000</t>
  </si>
  <si>
    <t>LOYER : 350 Euros</t>
  </si>
  <si>
    <t xml:space="preserve"> </t>
  </si>
  <si>
    <t>Détail :</t>
  </si>
  <si>
    <t>Modalités particulières des obligations en cas de pluralité de locataires : 
À l'égard du bailleur, les locataires désigné "Le locataire" sont solidairement responsables de l'ensemble des obligations stipulées au présent contrat.</t>
  </si>
  <si>
    <t>Bailleur :</t>
  </si>
  <si>
    <t>Locataire(s) :</t>
  </si>
  <si>
    <t xml:space="preserve">Modalités particulières des obligations en cas de pluralité de colocataires : 
Les colocataires des chambres ont signé entre eux un règlement de colocation stipulant leurs obligations réciproques, l’attribution des parties communes et privatives. 
À l'égard du bailleur, les colocataires des chambres sont solidairement responsables des obligations stipulées au présent contrat.
En cas de substitution d’un ou de plusieurs colocataires, les parties signeront un avenant au règlement de colocation qui mentionnera le ou les nouveaux colocataires entrants.
Les colocataires pourront proposer au bailleur des candidats pour le remplacement des colocataires sortant.
La décision revient, quant à elle, exclusivement au bailleur, seule partie en capacité d’accorder ou non le remplacement selon ses critères.
</t>
  </si>
  <si>
    <t xml:space="preserve">Modalités particulières des obligations en cas de pluralité de colocataires : 
Les colocataires des chambres ont signé entre eux un règlement de colocation stipulant leurs obligations réciproques, l’attribution des parties communes et privatives. 
À l'égard du bailleur, les colocataires des chambres sont solidairement responsables des obligations stipulées au présent contrat sauf pour le paiement du loyer et des charges.
En cas de substitution d’un ou de plusieurs colocataires, les parties signeront un avenant au règlement de colocation qui mentionnera le ou les nouveaux colocataires entrants.
Les colocataires pourront proposer au bailleur des candidats pour le remplacement des colocataires sortant.
La décision revient, quant à elle, exclusivement au bailleur, seule partie en capacité d’accorder ou non le remplacement selon ses critères.
</t>
  </si>
  <si>
    <r>
      <rPr>
        <b/>
        <sz val="10"/>
        <rFont val="Calibri"/>
        <family val="2"/>
      </rPr>
      <t>A. Interdiction de cession du droit au bail</t>
    </r>
    <r>
      <rPr>
        <sz val="10"/>
        <rFont val="Calibri"/>
        <family val="2"/>
      </rPr>
      <t xml:space="preserve">
Le Locataire ne pourra céder ses droits au présent bail.
</t>
    </r>
    <r>
      <rPr>
        <b/>
        <sz val="10"/>
        <rFont val="Calibri"/>
        <family val="2"/>
      </rPr>
      <t>B. Conditions de sous-location</t>
    </r>
    <r>
      <rPr>
        <sz val="10"/>
        <rFont val="Calibri"/>
        <family val="2"/>
      </rPr>
      <t xml:space="preserve">
Le locataire ne pourra sous-louer ni même prêter tout ou partie des locaux sans l'accord écrit du bailleur, y compris sur le prix du loyer. Conformément à l’article 4-n de la loi n° 89-462 du 6 juillet 1989, il pourra cependant héberger toute personne de son choix à sa convenance.
En cas de sous-location autorisée par le bailleur, le prix au mètre carré de surface habitable des locaux sous-loués ne devra pas excéder celui payé par le « locataire » principal.</t>
    </r>
  </si>
  <si>
    <t>Equipement</t>
  </si>
  <si>
    <t>Sol</t>
  </si>
  <si>
    <t>Murs</t>
  </si>
  <si>
    <t>Peinture</t>
  </si>
  <si>
    <t>Plafond</t>
  </si>
  <si>
    <t>Modalités particulières des obligations en cas de pluralité de colocataires : 
À l'égard du bailleur, les locataires désigné "Le colocataire" sont solidairement responsables de l'ensemble des obligations stipulées au présent contrat.</t>
  </si>
  <si>
    <t>SOLIDAIRE</t>
  </si>
  <si>
    <t>François</t>
  </si>
  <si>
    <t>DUPONT</t>
  </si>
  <si>
    <t>Dupont</t>
  </si>
  <si>
    <t>QUITTANCE : 05-2020</t>
  </si>
  <si>
    <t>TOTAL DU LOYER : 350 euros réglés par virement le 02/05/2020</t>
  </si>
  <si>
    <t>D'entrée</t>
  </si>
  <si>
    <t>Remise des clés au locataire : 
- 1 clé pour la chambre, 1 clé pour la cave, 1 clé boîte aux lettres, 1 clés pour appartement</t>
  </si>
  <si>
    <t>REVISION LOYER</t>
  </si>
  <si>
    <t>4/1/2019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</si>
</sst>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 #,##0.00\ [$€]_-;_-* &quot;-&quot;??\ [$€]_-;_-@_-"/>
    <numFmt numFmtId="167" formatCode="[$-40C]dddd\ d\ mmmm\ yyyy"/>
    <numFmt numFmtId="168" formatCode="&quot;Vrai&quot;;&quot;Vrai&quot;;&quot;Faux&quot;"/>
    <numFmt numFmtId="169" formatCode="&quot;Actif&quot;;&quot;Actif&quot;;&quot;Inactif&quot;"/>
    <numFmt numFmtId="170" formatCode="[$€-2]\ #,##0.00_);[Red]\([$€-2]\ #,##0.00\)"/>
    <numFmt numFmtId="171" formatCode="[$-F800]dddd\,\ mmmm\ dd\,\ yyyy"/>
    <numFmt numFmtId="172" formatCode="0.00000"/>
    <numFmt numFmtId="173" formatCode="0.0000"/>
    <numFmt numFmtId="174" formatCode="0.000"/>
    <numFmt numFmtId="175" formatCode="0.00000000"/>
    <numFmt numFmtId="176" formatCode="0.000000000"/>
    <numFmt numFmtId="177" formatCode="0.0000000000"/>
    <numFmt numFmtId="178" formatCode="0.0000000"/>
    <numFmt numFmtId="179" formatCode="0.000000"/>
    <numFmt numFmtId="180" formatCode="_-* #,##0.00\ [$€-40C]_-;\-* #,##0.00\ [$€-40C]_-;_-* &quot;-&quot;??\ [$€-40C]_-;_-@_-"/>
    <numFmt numFmtId="181" formatCode="#,##0.00\ &quot;€&quot;"/>
  </numFmts>
  <fonts count="152">
    <font>
      <sz val="10"/>
      <name val="Arial"/>
      <family val="0"/>
    </font>
    <font>
      <sz val="11"/>
      <color indexed="8"/>
      <name val="Calibri"/>
      <family val="2"/>
    </font>
    <font>
      <b/>
      <sz val="16"/>
      <name val="Arial"/>
      <family val="2"/>
    </font>
    <font>
      <sz val="12"/>
      <name val="Arial"/>
      <family val="2"/>
    </font>
    <font>
      <sz val="10"/>
      <name val="Calibri"/>
      <family val="2"/>
    </font>
    <font>
      <i/>
      <sz val="12"/>
      <name val="Arial"/>
      <family val="2"/>
    </font>
    <font>
      <b/>
      <sz val="18"/>
      <name val="Arial"/>
      <family val="2"/>
    </font>
    <font>
      <i/>
      <sz val="12"/>
      <name val="Calibri"/>
      <family val="2"/>
    </font>
    <font>
      <sz val="12"/>
      <name val="Calibri"/>
      <family val="2"/>
    </font>
    <font>
      <b/>
      <sz val="12"/>
      <name val="Arial"/>
      <family val="2"/>
    </font>
    <font>
      <b/>
      <u val="single"/>
      <sz val="12"/>
      <name val="Calibri"/>
      <family val="2"/>
    </font>
    <font>
      <sz val="14"/>
      <name val="Arial"/>
      <family val="2"/>
    </font>
    <font>
      <b/>
      <sz val="14"/>
      <name val="Arial"/>
      <family val="2"/>
    </font>
    <font>
      <u val="single"/>
      <sz val="12"/>
      <name val="Arial"/>
      <family val="2"/>
    </font>
    <font>
      <b/>
      <sz val="10"/>
      <name val="Calibri"/>
      <family val="2"/>
    </font>
    <font>
      <b/>
      <sz val="16"/>
      <name val="Calibri"/>
      <family val="2"/>
    </font>
    <font>
      <b/>
      <sz val="10"/>
      <name val="Arial"/>
      <family val="2"/>
    </font>
    <font>
      <b/>
      <u val="single"/>
      <sz val="20"/>
      <name val="Arial"/>
      <family val="2"/>
    </font>
    <font>
      <sz val="10"/>
      <name val="Cambria"/>
      <family val="1"/>
    </font>
    <font>
      <b/>
      <sz val="10"/>
      <name val="Cambria"/>
      <family val="1"/>
    </font>
    <font>
      <u val="single"/>
      <sz val="10"/>
      <name val="Arial"/>
      <family val="2"/>
    </font>
    <font>
      <u val="single"/>
      <sz val="10"/>
      <name val="Calibri"/>
      <family val="2"/>
    </font>
    <font>
      <strike/>
      <sz val="10"/>
      <name val="Arial"/>
      <family val="2"/>
    </font>
    <font>
      <sz val="16"/>
      <name val="Arial"/>
      <family val="2"/>
    </font>
    <font>
      <sz val="18"/>
      <name val="Arial"/>
      <family val="2"/>
    </font>
    <font>
      <sz val="20"/>
      <name val="Arial"/>
      <family val="2"/>
    </font>
    <font>
      <strike/>
      <sz val="10"/>
      <name val="Cambria"/>
      <family val="1"/>
    </font>
    <font>
      <sz val="24"/>
      <name val="Arial"/>
      <family val="2"/>
    </font>
    <font>
      <b/>
      <sz val="10"/>
      <color indexed="49"/>
      <name val="Calibri"/>
      <family val="2"/>
    </font>
    <font>
      <sz val="10"/>
      <color indexed="49"/>
      <name val="Calibri"/>
      <family val="2"/>
    </font>
    <font>
      <sz val="14"/>
      <name val="Calibri"/>
      <family val="2"/>
    </font>
    <font>
      <i/>
      <sz val="10"/>
      <color indexed="32"/>
      <name val="Arial"/>
      <family val="2"/>
    </font>
    <font>
      <i/>
      <sz val="10"/>
      <color indexed="10"/>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Arial"/>
      <family val="2"/>
    </font>
    <font>
      <b/>
      <u val="single"/>
      <sz val="12"/>
      <color indexed="8"/>
      <name val="Arial"/>
      <family val="2"/>
    </font>
    <font>
      <sz val="11"/>
      <color indexed="8"/>
      <name val="Arial"/>
      <family val="2"/>
    </font>
    <font>
      <sz val="10"/>
      <color indexed="56"/>
      <name val="Arial"/>
      <family val="2"/>
    </font>
    <font>
      <b/>
      <sz val="10"/>
      <color indexed="10"/>
      <name val="Arial"/>
      <family val="2"/>
    </font>
    <font>
      <b/>
      <sz val="18"/>
      <color indexed="10"/>
      <name val="Arial"/>
      <family val="2"/>
    </font>
    <font>
      <b/>
      <sz val="10"/>
      <color indexed="9"/>
      <name val="Arial"/>
      <family val="2"/>
    </font>
    <font>
      <b/>
      <sz val="16"/>
      <color indexed="10"/>
      <name val="Arial"/>
      <family val="2"/>
    </font>
    <font>
      <sz val="10"/>
      <color indexed="10"/>
      <name val="Arial"/>
      <family val="2"/>
    </font>
    <font>
      <sz val="10"/>
      <color indexed="30"/>
      <name val="Arial"/>
      <family val="2"/>
    </font>
    <font>
      <sz val="10"/>
      <color indexed="40"/>
      <name val="Arial"/>
      <family val="2"/>
    </font>
    <font>
      <u val="single"/>
      <sz val="16"/>
      <color indexed="12"/>
      <name val="Arial"/>
      <family val="2"/>
    </font>
    <font>
      <i/>
      <u val="single"/>
      <sz val="20"/>
      <color indexed="56"/>
      <name val="Arial"/>
      <family val="2"/>
    </font>
    <font>
      <sz val="10"/>
      <color indexed="44"/>
      <name val="Arial"/>
      <family val="2"/>
    </font>
    <font>
      <b/>
      <sz val="10"/>
      <color indexed="56"/>
      <name val="Arial"/>
      <family val="2"/>
    </font>
    <font>
      <sz val="10"/>
      <color indexed="56"/>
      <name val="Wingdings 2"/>
      <family val="1"/>
    </font>
    <font>
      <sz val="10"/>
      <color indexed="9"/>
      <name val="Arial"/>
      <family val="2"/>
    </font>
    <font>
      <i/>
      <sz val="12"/>
      <color indexed="8"/>
      <name val="Arial"/>
      <family val="2"/>
    </font>
    <font>
      <b/>
      <u val="single"/>
      <sz val="12"/>
      <color indexed="56"/>
      <name val="Arial"/>
      <family val="2"/>
    </font>
    <font>
      <b/>
      <u val="single"/>
      <sz val="12"/>
      <color indexed="10"/>
      <name val="Arial"/>
      <family val="2"/>
    </font>
    <font>
      <b/>
      <sz val="26"/>
      <color indexed="56"/>
      <name val="Arial"/>
      <family val="2"/>
    </font>
    <font>
      <sz val="16"/>
      <color indexed="9"/>
      <name val="Arial"/>
      <family val="2"/>
    </font>
    <font>
      <sz val="11"/>
      <color indexed="56"/>
      <name val="Calibri"/>
      <family val="2"/>
    </font>
    <font>
      <sz val="22"/>
      <color indexed="9"/>
      <name val="Arial"/>
      <family val="2"/>
    </font>
    <font>
      <b/>
      <sz val="26"/>
      <color indexed="9"/>
      <name val="Arial"/>
      <family val="2"/>
    </font>
    <font>
      <sz val="12"/>
      <color indexed="56"/>
      <name val="Arial"/>
      <family val="2"/>
    </font>
    <font>
      <b/>
      <sz val="18"/>
      <color indexed="56"/>
      <name val="Arial"/>
      <family val="2"/>
    </font>
    <font>
      <b/>
      <sz val="11"/>
      <color indexed="56"/>
      <name val="Arial"/>
      <family val="2"/>
    </font>
    <font>
      <b/>
      <sz val="16"/>
      <color indexed="56"/>
      <name val="Arial"/>
      <family val="2"/>
    </font>
    <font>
      <sz val="10"/>
      <color indexed="21"/>
      <name val="Calibri"/>
      <family val="2"/>
    </font>
    <font>
      <sz val="10"/>
      <color indexed="21"/>
      <name val="Arial"/>
      <family val="2"/>
    </font>
    <font>
      <b/>
      <sz val="14"/>
      <color indexed="9"/>
      <name val="Arial"/>
      <family val="2"/>
    </font>
    <font>
      <b/>
      <sz val="10"/>
      <color indexed="21"/>
      <name val="Arial"/>
      <family val="2"/>
    </font>
    <font>
      <sz val="10"/>
      <color indexed="49"/>
      <name val="Arial"/>
      <family val="2"/>
    </font>
    <font>
      <sz val="8"/>
      <name val="Segoe UI"/>
      <family val="2"/>
    </font>
    <font>
      <b/>
      <sz val="16"/>
      <color indexed="9"/>
      <name val="Calibri"/>
      <family val="0"/>
    </font>
    <font>
      <sz val="12"/>
      <color indexed="9"/>
      <name val="Calibri"/>
      <family val="0"/>
    </font>
    <font>
      <b/>
      <sz val="12"/>
      <color indexed="9"/>
      <name val="Calibri"/>
      <family val="0"/>
    </font>
    <font>
      <b/>
      <sz val="18"/>
      <color indexed="9"/>
      <name val="Calibri"/>
      <family val="0"/>
    </font>
    <font>
      <sz val="14"/>
      <color indexed="9"/>
      <name val="Calibri"/>
      <family val="0"/>
    </font>
    <font>
      <sz val="12"/>
      <color indexed="56"/>
      <name val="Calibri"/>
      <family val="0"/>
    </font>
    <font>
      <b/>
      <sz val="11"/>
      <color indexed="57"/>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Arial"/>
      <family val="2"/>
    </font>
    <font>
      <b/>
      <u val="single"/>
      <sz val="12"/>
      <color rgb="FF000000"/>
      <name val="Arial"/>
      <family val="2"/>
    </font>
    <font>
      <sz val="11"/>
      <color rgb="FF000000"/>
      <name val="Arial"/>
      <family val="2"/>
    </font>
    <font>
      <sz val="10"/>
      <color theme="3"/>
      <name val="Arial"/>
      <family val="2"/>
    </font>
    <font>
      <b/>
      <sz val="10"/>
      <color rgb="FFFF0000"/>
      <name val="Arial"/>
      <family val="2"/>
    </font>
    <font>
      <b/>
      <sz val="18"/>
      <color rgb="FFFF0000"/>
      <name val="Arial"/>
      <family val="2"/>
    </font>
    <font>
      <b/>
      <sz val="10"/>
      <color theme="0"/>
      <name val="Arial"/>
      <family val="2"/>
    </font>
    <font>
      <b/>
      <sz val="16"/>
      <color rgb="FFFF0000"/>
      <name val="Arial"/>
      <family val="2"/>
    </font>
    <font>
      <sz val="10"/>
      <color rgb="FFFF0000"/>
      <name val="Arial"/>
      <family val="2"/>
    </font>
    <font>
      <sz val="10"/>
      <color theme="4" tint="0.39998000860214233"/>
      <name val="Arial"/>
      <family val="2"/>
    </font>
    <font>
      <sz val="10"/>
      <color rgb="FF00B0F0"/>
      <name val="Arial"/>
      <family val="2"/>
    </font>
    <font>
      <u val="single"/>
      <sz val="16"/>
      <color theme="10"/>
      <name val="Arial"/>
      <family val="2"/>
    </font>
    <font>
      <i/>
      <u val="single"/>
      <sz val="20"/>
      <color rgb="FF002060"/>
      <name val="Arial"/>
      <family val="2"/>
    </font>
    <font>
      <sz val="10"/>
      <color theme="3" tint="0.5999900102615356"/>
      <name val="Arial"/>
      <family val="2"/>
    </font>
    <font>
      <b/>
      <sz val="10"/>
      <color theme="3"/>
      <name val="Arial"/>
      <family val="2"/>
    </font>
    <font>
      <sz val="10"/>
      <color theme="3"/>
      <name val="Wingdings 2"/>
      <family val="1"/>
    </font>
    <font>
      <sz val="10"/>
      <color theme="0"/>
      <name val="Arial"/>
      <family val="2"/>
    </font>
    <font>
      <i/>
      <sz val="12"/>
      <color rgb="FF000000"/>
      <name val="Arial"/>
      <family val="2"/>
    </font>
    <font>
      <b/>
      <u val="single"/>
      <sz val="12"/>
      <color rgb="FF002060"/>
      <name val="Arial"/>
      <family val="2"/>
    </font>
    <font>
      <b/>
      <u val="single"/>
      <sz val="12"/>
      <color rgb="FFFF0000"/>
      <name val="Arial"/>
      <family val="2"/>
    </font>
    <font>
      <b/>
      <sz val="26"/>
      <color rgb="FF002060"/>
      <name val="Arial"/>
      <family val="2"/>
    </font>
    <font>
      <sz val="16"/>
      <color theme="0"/>
      <name val="Arial"/>
      <family val="2"/>
    </font>
    <font>
      <sz val="11"/>
      <color rgb="FF002060"/>
      <name val="Calibri"/>
      <family val="2"/>
    </font>
    <font>
      <sz val="10"/>
      <color theme="4" tint="0.5999900102615356"/>
      <name val="Arial"/>
      <family val="2"/>
    </font>
    <font>
      <sz val="10"/>
      <color rgb="FF002060"/>
      <name val="Arial"/>
      <family val="2"/>
    </font>
    <font>
      <sz val="12"/>
      <color rgb="FF002060"/>
      <name val="Arial"/>
      <family val="2"/>
    </font>
    <font>
      <b/>
      <sz val="26"/>
      <color theme="0"/>
      <name val="Arial"/>
      <family val="2"/>
    </font>
    <font>
      <sz val="22"/>
      <color theme="0"/>
      <name val="Arial"/>
      <family val="2"/>
    </font>
    <font>
      <b/>
      <sz val="18"/>
      <color rgb="FF002060"/>
      <name val="Arial"/>
      <family val="2"/>
    </font>
    <font>
      <b/>
      <sz val="16"/>
      <color theme="3"/>
      <name val="Arial"/>
      <family val="2"/>
    </font>
    <font>
      <b/>
      <sz val="11"/>
      <color theme="3"/>
      <name val="Arial"/>
      <family val="2"/>
    </font>
    <font>
      <b/>
      <sz val="18"/>
      <color theme="3"/>
      <name val="Arial"/>
      <family val="2"/>
    </font>
    <font>
      <sz val="10"/>
      <color theme="8" tint="0.39998000860214233"/>
      <name val="Arial"/>
      <family val="2"/>
    </font>
    <font>
      <sz val="10"/>
      <color theme="8" tint="-0.4999699890613556"/>
      <name val="Calibri"/>
      <family val="2"/>
    </font>
    <font>
      <b/>
      <sz val="10"/>
      <color theme="8" tint="-0.4999699890613556"/>
      <name val="Arial"/>
      <family val="2"/>
    </font>
    <font>
      <b/>
      <sz val="14"/>
      <color theme="0"/>
      <name val="Arial"/>
      <family val="2"/>
    </font>
    <font>
      <sz val="10"/>
      <color theme="8" tint="-0.49996998906135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34997999668121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bottom style="medium"/>
    </border>
    <border>
      <left style="thin"/>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right style="thin"/>
      <top style="thin"/>
      <bottom style="thin"/>
    </border>
    <border>
      <left style="thin"/>
      <right style="medium"/>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top style="thin"/>
      <bottom style="thin"/>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101" fillId="28" borderId="0" applyNumberFormat="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5" fillId="29" borderId="0" applyNumberFormat="0" applyBorder="0" applyAlignment="0" applyProtection="0"/>
    <xf numFmtId="0" fontId="0" fillId="0" borderId="0">
      <alignment/>
      <protection/>
    </xf>
    <xf numFmtId="0" fontId="0" fillId="0" borderId="0">
      <alignment/>
      <protection/>
    </xf>
    <xf numFmtId="0" fontId="95" fillId="0" borderId="0">
      <alignment/>
      <protection/>
    </xf>
    <xf numFmtId="0" fontId="0" fillId="30" borderId="3" applyNumberFormat="0" applyFont="0" applyAlignment="0" applyProtection="0"/>
    <xf numFmtId="9" fontId="0" fillId="0" borderId="0" applyFont="0" applyFill="0" applyBorder="0" applyAlignment="0" applyProtection="0"/>
    <xf numFmtId="0" fontId="106" fillId="31" borderId="0" applyNumberFormat="0" applyBorder="0" applyAlignment="0" applyProtection="0"/>
    <xf numFmtId="0" fontId="107" fillId="26" borderId="4"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2" borderId="9" applyNumberFormat="0" applyAlignment="0" applyProtection="0"/>
  </cellStyleXfs>
  <cellXfs count="474">
    <xf numFmtId="0" fontId="0" fillId="0" borderId="0" xfId="0" applyAlignment="1">
      <alignment/>
    </xf>
    <xf numFmtId="0" fontId="0" fillId="0" borderId="0" xfId="0" applyAlignment="1">
      <alignment vertical="center"/>
    </xf>
    <xf numFmtId="0" fontId="0" fillId="9" borderId="10" xfId="0" applyFont="1" applyFill="1" applyBorder="1" applyAlignment="1" applyProtection="1">
      <alignment vertical="center"/>
      <protection hidden="1"/>
    </xf>
    <xf numFmtId="0" fontId="0" fillId="0" borderId="0" xfId="0" applyAlignment="1" applyProtection="1">
      <alignment vertical="center"/>
      <protection hidden="1"/>
    </xf>
    <xf numFmtId="0" fontId="11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14" fontId="0" fillId="0" borderId="0" xfId="0" applyNumberFormat="1" applyAlignment="1">
      <alignment vertical="center"/>
    </xf>
    <xf numFmtId="0" fontId="0" fillId="0" borderId="0" xfId="0" applyFont="1" applyAlignment="1">
      <alignment vertical="center"/>
    </xf>
    <xf numFmtId="14" fontId="0" fillId="0" borderId="0" xfId="0" applyNumberFormat="1" applyAlignment="1">
      <alignment horizontal="left" vertical="center"/>
    </xf>
    <xf numFmtId="0" fontId="0" fillId="0" borderId="0" xfId="0" applyFont="1" applyAlignment="1">
      <alignment horizontal="center" vertical="center"/>
    </xf>
    <xf numFmtId="0" fontId="116"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17" fillId="0" borderId="14" xfId="0" applyFont="1" applyBorder="1" applyAlignment="1">
      <alignment vertical="center"/>
    </xf>
    <xf numFmtId="0" fontId="0" fillId="0" borderId="15" xfId="0" applyBorder="1" applyAlignment="1">
      <alignment vertical="center"/>
    </xf>
    <xf numFmtId="0" fontId="115" fillId="0" borderId="14" xfId="0" applyFont="1" applyBorder="1" applyAlignment="1">
      <alignment vertical="center"/>
    </xf>
    <xf numFmtId="0" fontId="115"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15" fillId="0" borderId="0" xfId="0" applyFont="1" applyAlignment="1">
      <alignment vertical="center"/>
    </xf>
    <xf numFmtId="14" fontId="115" fillId="0" borderId="0" xfId="0" applyNumberFormat="1" applyFont="1" applyAlignment="1">
      <alignment vertical="center"/>
    </xf>
    <xf numFmtId="0" fontId="0" fillId="0" borderId="0" xfId="0" applyFont="1" applyAlignment="1" applyProtection="1">
      <alignment vertical="center"/>
      <protection hidden="1"/>
    </xf>
    <xf numFmtId="0" fontId="0" fillId="0" borderId="10" xfId="0" applyFont="1" applyBorder="1" applyAlignment="1" applyProtection="1">
      <alignment horizontal="center" vertical="center" wrapText="1"/>
      <protection hidden="1" locked="0"/>
    </xf>
    <xf numFmtId="0" fontId="0" fillId="0" borderId="15" xfId="0" applyBorder="1" applyAlignment="1">
      <alignment/>
    </xf>
    <xf numFmtId="0" fontId="118" fillId="0" borderId="14" xfId="0" applyFont="1"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8" fillId="0" borderId="10" xfId="0" applyFont="1" applyBorder="1" applyAlignment="1">
      <alignment vertical="center" wrapText="1"/>
    </xf>
    <xf numFmtId="0" fontId="119" fillId="0" borderId="0" xfId="0" applyFont="1" applyAlignment="1" applyProtection="1">
      <alignment vertical="center"/>
      <protection hidden="1" locked="0"/>
    </xf>
    <xf numFmtId="14" fontId="9" fillId="0" borderId="10" xfId="0" applyNumberFormat="1" applyFont="1" applyBorder="1" applyAlignment="1" applyProtection="1">
      <alignment horizontal="right" vertical="center"/>
      <protection hidden="1" locked="0"/>
    </xf>
    <xf numFmtId="0" fontId="3" fillId="0" borderId="19" xfId="0" applyFont="1" applyBorder="1" applyAlignment="1" applyProtection="1">
      <alignment horizontal="center" vertical="center"/>
      <protection hidden="1"/>
    </xf>
    <xf numFmtId="0" fontId="0" fillId="0" borderId="12"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1" xfId="0" applyBorder="1" applyAlignment="1">
      <alignment/>
    </xf>
    <xf numFmtId="14" fontId="6" fillId="0" borderId="10" xfId="0" applyNumberFormat="1" applyFont="1" applyBorder="1" applyAlignment="1" applyProtection="1">
      <alignment horizontal="right" vertical="center"/>
      <protection hidden="1" locked="0"/>
    </xf>
    <xf numFmtId="14" fontId="3" fillId="0" borderId="10" xfId="0" applyNumberFormat="1" applyFont="1" applyBorder="1" applyAlignment="1" applyProtection="1">
      <alignment horizontal="right" vertical="center"/>
      <protection hidden="1" locked="0"/>
    </xf>
    <xf numFmtId="0" fontId="120" fillId="0" borderId="0" xfId="0" applyFont="1" applyAlignment="1" applyProtection="1">
      <alignment vertical="center"/>
      <protection hidden="1"/>
    </xf>
    <xf numFmtId="0" fontId="0" fillId="9" borderId="10" xfId="0" applyFont="1" applyFill="1" applyBorder="1" applyAlignment="1" applyProtection="1">
      <alignment vertical="center"/>
      <protection hidden="1"/>
    </xf>
    <xf numFmtId="0" fontId="0" fillId="2" borderId="10" xfId="0" applyFont="1" applyFill="1" applyBorder="1" applyAlignment="1" applyProtection="1">
      <alignment horizontal="right" vertical="center"/>
      <protection hidden="1"/>
    </xf>
    <xf numFmtId="0" fontId="0" fillId="2" borderId="10" xfId="0" applyFont="1" applyFill="1" applyBorder="1" applyAlignment="1" applyProtection="1">
      <alignment horizontal="right" vertical="center" wrapText="1"/>
      <protection hidden="1"/>
    </xf>
    <xf numFmtId="44" fontId="0" fillId="2" borderId="10" xfId="57" applyFont="1" applyFill="1" applyBorder="1" applyAlignment="1" applyProtection="1">
      <alignment horizontal="right" vertical="center"/>
      <protection hidden="1"/>
    </xf>
    <xf numFmtId="0" fontId="0" fillId="2" borderId="10" xfId="0"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44" fontId="3" fillId="0" borderId="20" xfId="0" applyNumberFormat="1" applyFont="1" applyBorder="1" applyAlignment="1" applyProtection="1">
      <alignment vertical="center"/>
      <protection hidden="1"/>
    </xf>
    <xf numFmtId="0" fontId="121" fillId="33" borderId="0" xfId="0" applyFont="1" applyFill="1" applyAlignment="1">
      <alignment vertical="center"/>
    </xf>
    <xf numFmtId="0" fontId="0" fillId="0" borderId="10" xfId="0" applyFont="1" applyBorder="1" applyAlignment="1" applyProtection="1">
      <alignment horizontal="center" vertical="center"/>
      <protection hidden="1" locked="0"/>
    </xf>
    <xf numFmtId="0" fontId="4" fillId="0" borderId="10" xfId="0" applyFont="1" applyBorder="1" applyAlignment="1">
      <alignment horizontal="justify" vertical="center"/>
    </xf>
    <xf numFmtId="44" fontId="0" fillId="2" borderId="0" xfId="57" applyFont="1" applyFill="1" applyAlignment="1" applyProtection="1">
      <alignment horizontal="right" vertical="center"/>
      <protection hidden="1"/>
    </xf>
    <xf numFmtId="0" fontId="0" fillId="3" borderId="10" xfId="0" applyFont="1" applyFill="1" applyBorder="1" applyAlignment="1" applyProtection="1">
      <alignment horizontal="right" vertical="center"/>
      <protection hidden="1"/>
    </xf>
    <xf numFmtId="0" fontId="0" fillId="8" borderId="10" xfId="0" applyFont="1" applyFill="1" applyBorder="1" applyAlignment="1" applyProtection="1">
      <alignment vertical="center"/>
      <protection hidden="1"/>
    </xf>
    <xf numFmtId="0" fontId="0" fillId="8" borderId="10" xfId="0" applyFont="1" applyFill="1" applyBorder="1" applyAlignment="1" applyProtection="1">
      <alignment vertical="center"/>
      <protection hidden="1"/>
    </xf>
    <xf numFmtId="0" fontId="0" fillId="8" borderId="10" xfId="0" applyFont="1" applyFill="1" applyBorder="1" applyAlignment="1" applyProtection="1">
      <alignment horizontal="left" vertical="center"/>
      <protection hidden="1"/>
    </xf>
    <xf numFmtId="0" fontId="0" fillId="3" borderId="10" xfId="0" applyFont="1" applyFill="1" applyBorder="1" applyAlignment="1" applyProtection="1">
      <alignment vertical="center"/>
      <protection hidden="1"/>
    </xf>
    <xf numFmtId="0" fontId="122" fillId="3" borderId="10" xfId="0" applyFont="1" applyFill="1" applyBorder="1" applyAlignment="1" applyProtection="1">
      <alignment vertical="center"/>
      <protection hidden="1"/>
    </xf>
    <xf numFmtId="0" fontId="11" fillId="3" borderId="10" xfId="0" applyFont="1" applyFill="1" applyBorder="1" applyAlignment="1" applyProtection="1">
      <alignment vertical="center"/>
      <protection hidden="1"/>
    </xf>
    <xf numFmtId="0" fontId="12" fillId="3" borderId="10" xfId="0" applyFont="1" applyFill="1" applyBorder="1" applyAlignment="1" applyProtection="1">
      <alignment vertical="center"/>
      <protection hidden="1"/>
    </xf>
    <xf numFmtId="0" fontId="11" fillId="3" borderId="21" xfId="0" applyFont="1" applyFill="1" applyBorder="1" applyAlignment="1" applyProtection="1">
      <alignment vertical="center"/>
      <protection hidden="1"/>
    </xf>
    <xf numFmtId="14" fontId="3" fillId="0" borderId="10" xfId="0" applyNumberFormat="1" applyFont="1" applyBorder="1" applyAlignment="1" applyProtection="1">
      <alignment horizontal="right" vertical="center"/>
      <protection locked="0"/>
    </xf>
    <xf numFmtId="0" fontId="0" fillId="8" borderId="0" xfId="0" applyFont="1" applyFill="1" applyAlignment="1" applyProtection="1">
      <alignment vertical="center"/>
      <protection hidden="1"/>
    </xf>
    <xf numFmtId="0" fontId="0" fillId="8" borderId="0" xfId="0" applyFill="1" applyAlignment="1" applyProtection="1">
      <alignment vertical="center"/>
      <protection hidden="1"/>
    </xf>
    <xf numFmtId="0" fontId="0" fillId="34" borderId="0" xfId="0" applyFont="1" applyFill="1" applyAlignment="1" applyProtection="1">
      <alignment vertical="center"/>
      <protection hidden="1"/>
    </xf>
    <xf numFmtId="0" fontId="23" fillId="8" borderId="10" xfId="0" applyFont="1" applyFill="1" applyBorder="1" applyAlignment="1" applyProtection="1">
      <alignment horizontal="right" vertical="center"/>
      <protection hidden="1"/>
    </xf>
    <xf numFmtId="0" fontId="0" fillId="14" borderId="0" xfId="0" applyFont="1" applyFill="1" applyAlignment="1" applyProtection="1">
      <alignment vertical="center"/>
      <protection hidden="1"/>
    </xf>
    <xf numFmtId="0" fontId="0" fillId="14" borderId="0" xfId="0" applyFont="1" applyFill="1" applyAlignment="1" applyProtection="1">
      <alignment vertical="center"/>
      <protection hidden="1"/>
    </xf>
    <xf numFmtId="0" fontId="0" fillId="34" borderId="22"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4" borderId="24" xfId="0" applyFont="1" applyFill="1" applyBorder="1" applyAlignment="1" applyProtection="1">
      <alignment vertical="center"/>
      <protection hidden="1"/>
    </xf>
    <xf numFmtId="0" fontId="0" fillId="34" borderId="25" xfId="0" applyFont="1" applyFill="1" applyBorder="1" applyAlignment="1" applyProtection="1">
      <alignment vertical="center"/>
      <protection hidden="1"/>
    </xf>
    <xf numFmtId="0" fontId="0" fillId="34" borderId="26" xfId="0" applyFont="1" applyFill="1" applyBorder="1" applyAlignment="1" applyProtection="1">
      <alignment vertical="center"/>
      <protection hidden="1"/>
    </xf>
    <xf numFmtId="0" fontId="0" fillId="34" borderId="27" xfId="0" applyFont="1" applyFill="1" applyBorder="1" applyAlignment="1" applyProtection="1">
      <alignment vertical="center"/>
      <protection hidden="1"/>
    </xf>
    <xf numFmtId="0" fontId="0" fillId="34" borderId="28" xfId="0" applyFont="1" applyFill="1" applyBorder="1" applyAlignment="1" applyProtection="1">
      <alignment vertical="center"/>
      <protection hidden="1"/>
    </xf>
    <xf numFmtId="0" fontId="0" fillId="34" borderId="29" xfId="0" applyFont="1" applyFill="1" applyBorder="1" applyAlignment="1" applyProtection="1">
      <alignment vertical="center"/>
      <protection hidden="1"/>
    </xf>
    <xf numFmtId="14" fontId="3" fillId="2" borderId="10" xfId="0" applyNumberFormat="1" applyFont="1" applyFill="1" applyBorder="1" applyAlignment="1" applyProtection="1">
      <alignment horizontal="center" vertical="center"/>
      <protection locked="0"/>
    </xf>
    <xf numFmtId="0" fontId="123" fillId="34" borderId="22" xfId="0" applyFont="1" applyFill="1" applyBorder="1" applyAlignment="1" applyProtection="1">
      <alignment vertical="center"/>
      <protection hidden="1"/>
    </xf>
    <xf numFmtId="0" fontId="123" fillId="34" borderId="23" xfId="0" applyFont="1" applyFill="1" applyBorder="1" applyAlignment="1" applyProtection="1">
      <alignment vertical="center"/>
      <protection hidden="1"/>
    </xf>
    <xf numFmtId="0" fontId="123" fillId="34" borderId="24" xfId="0" applyFont="1" applyFill="1" applyBorder="1" applyAlignment="1" applyProtection="1">
      <alignment vertical="center"/>
      <protection hidden="1"/>
    </xf>
    <xf numFmtId="0" fontId="123" fillId="34" borderId="25" xfId="0" applyFont="1" applyFill="1" applyBorder="1" applyAlignment="1" applyProtection="1">
      <alignment vertical="center"/>
      <protection hidden="1"/>
    </xf>
    <xf numFmtId="0" fontId="123" fillId="34" borderId="27" xfId="0" applyFont="1" applyFill="1" applyBorder="1" applyAlignment="1" applyProtection="1">
      <alignment vertical="center"/>
      <protection hidden="1"/>
    </xf>
    <xf numFmtId="0" fontId="123" fillId="34" borderId="28" xfId="0" applyFont="1" applyFill="1" applyBorder="1" applyAlignment="1" applyProtection="1">
      <alignment vertical="center"/>
      <protection hidden="1"/>
    </xf>
    <xf numFmtId="0" fontId="123" fillId="34" borderId="29" xfId="0" applyFont="1" applyFill="1" applyBorder="1" applyAlignment="1" applyProtection="1">
      <alignment vertical="center"/>
      <protection hidden="1"/>
    </xf>
    <xf numFmtId="0" fontId="123" fillId="34" borderId="26"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4" borderId="24" xfId="0" applyFont="1" applyFill="1" applyBorder="1" applyAlignment="1" applyProtection="1">
      <alignment vertical="center"/>
      <protection hidden="1"/>
    </xf>
    <xf numFmtId="0" fontId="0" fillId="34" borderId="25" xfId="0" applyFont="1" applyFill="1" applyBorder="1" applyAlignment="1" applyProtection="1">
      <alignment vertical="center"/>
      <protection hidden="1"/>
    </xf>
    <xf numFmtId="0" fontId="0" fillId="34" borderId="26" xfId="0" applyFont="1" applyFill="1" applyBorder="1" applyAlignment="1" applyProtection="1">
      <alignment vertical="center"/>
      <protection hidden="1"/>
    </xf>
    <xf numFmtId="0" fontId="124" fillId="35" borderId="22" xfId="0" applyFont="1" applyFill="1" applyBorder="1" applyAlignment="1" applyProtection="1">
      <alignment horizontal="center" vertical="center"/>
      <protection hidden="1"/>
    </xf>
    <xf numFmtId="0" fontId="0" fillId="14" borderId="24" xfId="0" applyFont="1" applyFill="1" applyBorder="1" applyAlignment="1" applyProtection="1">
      <alignment vertical="center"/>
      <protection hidden="1"/>
    </xf>
    <xf numFmtId="0" fontId="0" fillId="14" borderId="26" xfId="0" applyFont="1" applyFill="1" applyBorder="1" applyAlignment="1" applyProtection="1">
      <alignment vertical="center"/>
      <protection hidden="1"/>
    </xf>
    <xf numFmtId="0" fontId="0" fillId="14" borderId="25" xfId="0" applyFont="1" applyFill="1" applyBorder="1" applyAlignment="1" applyProtection="1">
      <alignment vertical="center"/>
      <protection hidden="1"/>
    </xf>
    <xf numFmtId="0" fontId="0" fillId="14" borderId="26" xfId="0" applyFont="1" applyFill="1" applyBorder="1" applyAlignment="1" applyProtection="1">
      <alignment vertical="center"/>
      <protection hidden="1"/>
    </xf>
    <xf numFmtId="0" fontId="0" fillId="14" borderId="27" xfId="0" applyFont="1" applyFill="1" applyBorder="1" applyAlignment="1" applyProtection="1">
      <alignment vertical="center"/>
      <protection hidden="1"/>
    </xf>
    <xf numFmtId="0" fontId="0" fillId="14" borderId="28" xfId="0" applyFont="1" applyFill="1" applyBorder="1" applyAlignment="1" applyProtection="1">
      <alignment vertical="center"/>
      <protection hidden="1"/>
    </xf>
    <xf numFmtId="0" fontId="0" fillId="14" borderId="29" xfId="0" applyFont="1" applyFill="1" applyBorder="1" applyAlignment="1" applyProtection="1">
      <alignment vertical="center"/>
      <protection hidden="1"/>
    </xf>
    <xf numFmtId="0" fontId="0" fillId="34" borderId="30" xfId="0" applyFont="1" applyFill="1" applyBorder="1" applyAlignment="1" applyProtection="1">
      <alignment vertical="center"/>
      <protection hidden="1" locked="0"/>
    </xf>
    <xf numFmtId="0" fontId="125" fillId="14" borderId="0" xfId="0" applyFont="1" applyFill="1" applyAlignment="1" applyProtection="1">
      <alignment horizontal="left" vertical="center"/>
      <protection hidden="1"/>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24" fillId="14" borderId="0" xfId="0" applyFont="1" applyFill="1" applyAlignment="1" applyProtection="1">
      <alignment horizontal="left"/>
      <protection hidden="1"/>
    </xf>
    <xf numFmtId="0" fontId="0" fillId="14" borderId="0" xfId="0" applyFont="1" applyFill="1" applyAlignment="1" applyProtection="1">
      <alignment horizontal="left" vertical="center"/>
      <protection hidden="1"/>
    </xf>
    <xf numFmtId="44" fontId="25" fillId="14" borderId="0" xfId="57" applyFont="1" applyFill="1" applyAlignment="1" applyProtection="1">
      <alignment horizontal="right" vertical="center"/>
      <protection hidden="1"/>
    </xf>
    <xf numFmtId="0" fontId="126" fillId="14" borderId="0" xfId="52" applyFont="1" applyFill="1" applyAlignment="1" applyProtection="1">
      <alignment vertical="center"/>
      <protection hidden="1"/>
    </xf>
    <xf numFmtId="0" fontId="127" fillId="14" borderId="0" xfId="0" applyFont="1" applyFill="1" applyAlignment="1" applyProtection="1">
      <alignment horizontal="center" vertical="center"/>
      <protection hidden="1"/>
    </xf>
    <xf numFmtId="0" fontId="128" fillId="14" borderId="0" xfId="0" applyFont="1" applyFill="1" applyAlignment="1" applyProtection="1">
      <alignment vertical="center"/>
      <protection hidden="1"/>
    </xf>
    <xf numFmtId="0" fontId="0" fillId="14" borderId="0" xfId="0" applyFont="1" applyFill="1" applyAlignment="1" applyProtection="1">
      <alignment vertical="center"/>
      <protection hidden="1"/>
    </xf>
    <xf numFmtId="11" fontId="126" fillId="14" borderId="0" xfId="52" applyNumberFormat="1" applyFont="1" applyFill="1" applyAlignment="1" applyProtection="1">
      <alignment vertical="center"/>
      <protection hidden="1"/>
    </xf>
    <xf numFmtId="0" fontId="3"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horizontal="right"/>
      <protection hidden="1"/>
    </xf>
    <xf numFmtId="0" fontId="13" fillId="0" borderId="0" xfId="0" applyFont="1" applyAlignment="1" applyProtection="1">
      <alignment/>
      <protection hidden="1"/>
    </xf>
    <xf numFmtId="0" fontId="118" fillId="0" borderId="0" xfId="0" applyFont="1" applyAlignment="1" applyProtection="1">
      <alignment vertical="center"/>
      <protection hidden="1"/>
    </xf>
    <xf numFmtId="0" fontId="129" fillId="0" borderId="0" xfId="0" applyFont="1" applyAlignment="1" applyProtection="1">
      <alignment horizontal="right" vertical="center"/>
      <protection hidden="1"/>
    </xf>
    <xf numFmtId="0" fontId="130" fillId="0" borderId="0" xfId="0" applyFont="1" applyAlignment="1" applyProtection="1">
      <alignment vertical="center"/>
      <protection hidden="1"/>
    </xf>
    <xf numFmtId="0" fontId="0" fillId="0" borderId="0" xfId="0" applyAlignment="1" applyProtection="1">
      <alignment horizontal="left" vertical="center"/>
      <protection hidden="1"/>
    </xf>
    <xf numFmtId="0" fontId="15"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4" fillId="0" borderId="0" xfId="0" applyFont="1" applyAlignment="1" applyProtection="1">
      <alignment vertical="center"/>
      <protection hidden="1"/>
    </xf>
    <xf numFmtId="0" fontId="121" fillId="33" borderId="0" xfId="0" applyFont="1" applyFill="1" applyAlignment="1" applyProtection="1">
      <alignment vertical="center"/>
      <protection hidden="1"/>
    </xf>
    <xf numFmtId="0" fontId="131" fillId="33" borderId="0" xfId="0" applyFont="1" applyFill="1" applyAlignment="1" applyProtection="1">
      <alignment vertical="center"/>
      <protection hidden="1"/>
    </xf>
    <xf numFmtId="0" fontId="4"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protection hidden="1"/>
    </xf>
    <xf numFmtId="0" fontId="0" fillId="34" borderId="10" xfId="0" applyFont="1" applyFill="1" applyBorder="1" applyAlignment="1" applyProtection="1">
      <alignment vertical="center"/>
      <protection hidden="1"/>
    </xf>
    <xf numFmtId="0" fontId="0" fillId="0" borderId="34" xfId="0" applyBorder="1" applyAlignment="1" applyProtection="1">
      <alignment vertical="center"/>
      <protection hidden="1"/>
    </xf>
    <xf numFmtId="0" fontId="0" fillId="0" borderId="35" xfId="0" applyBorder="1" applyAlignment="1" applyProtection="1">
      <alignment vertical="center"/>
      <protection hidden="1"/>
    </xf>
    <xf numFmtId="44" fontId="0" fillId="0" borderId="10" xfId="57" applyFont="1" applyBorder="1" applyAlignment="1" applyProtection="1">
      <alignment vertical="center"/>
      <protection hidden="1"/>
    </xf>
    <xf numFmtId="0" fontId="4" fillId="34" borderId="21" xfId="0" applyFont="1" applyFill="1" applyBorder="1" applyAlignment="1" applyProtection="1">
      <alignment/>
      <protection hidden="1"/>
    </xf>
    <xf numFmtId="0" fontId="0" fillId="34" borderId="34" xfId="0" applyFill="1" applyBorder="1" applyAlignment="1" applyProtection="1">
      <alignment vertical="center"/>
      <protection hidden="1"/>
    </xf>
    <xf numFmtId="0" fontId="0" fillId="34" borderId="35" xfId="0" applyFill="1" applyBorder="1" applyAlignment="1" applyProtection="1">
      <alignment vertical="center"/>
      <protection hidden="1"/>
    </xf>
    <xf numFmtId="14" fontId="0" fillId="0" borderId="21" xfId="0" applyNumberFormat="1" applyBorder="1" applyAlignment="1" applyProtection="1">
      <alignment vertical="center"/>
      <protection hidden="1"/>
    </xf>
    <xf numFmtId="0" fontId="0" fillId="0" borderId="21" xfId="0"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22" fillId="0" borderId="0" xfId="0" applyFont="1" applyAlignment="1" applyProtection="1">
      <alignment vertical="center"/>
      <protection hidden="1"/>
    </xf>
    <xf numFmtId="0" fontId="132" fillId="0" borderId="0" xfId="0" applyFont="1" applyAlignment="1">
      <alignment vertical="center"/>
    </xf>
    <xf numFmtId="0" fontId="0" fillId="0" borderId="14" xfId="0" applyBorder="1" applyAlignment="1">
      <alignment vertical="center"/>
    </xf>
    <xf numFmtId="0" fontId="3" fillId="0" borderId="0" xfId="0" applyFont="1" applyAlignment="1" applyProtection="1">
      <alignment horizontal="justify" vertical="top"/>
      <protection hidden="1"/>
    </xf>
    <xf numFmtId="0" fontId="3" fillId="0" borderId="0" xfId="0" applyFont="1" applyAlignment="1" applyProtection="1">
      <alignment horizontal="justify" vertical="top"/>
      <protection locked="0"/>
    </xf>
    <xf numFmtId="0" fontId="26" fillId="0" borderId="0" xfId="0" applyFont="1" applyAlignment="1" applyProtection="1">
      <alignment horizontal="justify" vertical="center"/>
      <protection hidden="1"/>
    </xf>
    <xf numFmtId="14" fontId="0" fillId="0" borderId="10" xfId="0" applyNumberFormat="1" applyBorder="1" applyAlignment="1" applyProtection="1">
      <alignment horizontal="center" vertical="center"/>
      <protection hidden="1"/>
    </xf>
    <xf numFmtId="0" fontId="3" fillId="0" borderId="0" xfId="0" applyFont="1" applyAlignment="1" applyProtection="1">
      <alignment horizontal="left" vertical="top" wrapText="1"/>
      <protection hidden="1"/>
    </xf>
    <xf numFmtId="0" fontId="0" fillId="0" borderId="10" xfId="0" applyFont="1" applyBorder="1" applyAlignment="1" applyProtection="1">
      <alignment horizontal="center" vertical="center"/>
      <protection hidden="1"/>
    </xf>
    <xf numFmtId="14" fontId="3" fillId="2" borderId="10" xfId="0" applyNumberFormat="1" applyFont="1" applyFill="1" applyBorder="1" applyAlignment="1" applyProtection="1">
      <alignment horizontal="center" vertical="center"/>
      <protection hidden="1"/>
    </xf>
    <xf numFmtId="0" fontId="0" fillId="0" borderId="10" xfId="0" applyFont="1" applyBorder="1" applyAlignment="1" applyProtection="1">
      <alignment vertical="center"/>
      <protection locked="0"/>
    </xf>
    <xf numFmtId="0" fontId="0" fillId="14" borderId="0" xfId="0" applyFont="1" applyFill="1" applyAlignment="1" applyProtection="1">
      <alignment vertical="center"/>
      <protection hidden="1"/>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2" xfId="0" applyFont="1" applyFill="1" applyBorder="1" applyAlignment="1" applyProtection="1" quotePrefix="1">
      <alignment horizontal="center" vertical="center"/>
      <protection locked="0"/>
    </xf>
    <xf numFmtId="0" fontId="0" fillId="0" borderId="0" xfId="0" applyAlignment="1" applyProtection="1">
      <alignment wrapText="1"/>
      <protection hidden="1"/>
    </xf>
    <xf numFmtId="0" fontId="0" fillId="0" borderId="0" xfId="0" applyFont="1" applyAlignment="1" applyProtection="1">
      <alignment/>
      <protection locked="0"/>
    </xf>
    <xf numFmtId="49" fontId="0" fillId="0" borderId="0" xfId="0" applyNumberFormat="1" applyFont="1" applyAlignment="1" applyProtection="1">
      <alignment/>
      <protection locked="0"/>
    </xf>
    <xf numFmtId="0" fontId="3" fillId="2" borderId="33" xfId="0" applyFont="1" applyFill="1" applyBorder="1" applyAlignment="1" applyProtection="1" quotePrefix="1">
      <alignment vertical="center" wrapText="1"/>
      <protection locked="0"/>
    </xf>
    <xf numFmtId="0" fontId="27" fillId="8" borderId="37" xfId="0" applyFont="1" applyFill="1" applyBorder="1" applyAlignment="1" applyProtection="1">
      <alignment vertical="center"/>
      <protection hidden="1"/>
    </xf>
    <xf numFmtId="0" fontId="27" fillId="8" borderId="38" xfId="0" applyFont="1" applyFill="1" applyBorder="1" applyAlignment="1" applyProtection="1">
      <alignment vertical="center"/>
      <protection hidden="1"/>
    </xf>
    <xf numFmtId="0" fontId="27" fillId="8" borderId="39" xfId="0" applyFont="1" applyFill="1" applyBorder="1" applyAlignment="1" applyProtection="1">
      <alignment vertical="center"/>
      <protection hidden="1"/>
    </xf>
    <xf numFmtId="0" fontId="95" fillId="14" borderId="0" xfId="66" applyFill="1">
      <alignment/>
      <protection/>
    </xf>
    <xf numFmtId="0" fontId="95" fillId="14" borderId="0" xfId="66" applyFill="1">
      <alignment/>
      <protection/>
    </xf>
    <xf numFmtId="0" fontId="95" fillId="14" borderId="40" xfId="66" applyFill="1" applyBorder="1">
      <alignment/>
      <protection/>
    </xf>
    <xf numFmtId="0" fontId="95" fillId="14" borderId="41" xfId="66" applyFill="1" applyBorder="1">
      <alignment/>
      <protection/>
    </xf>
    <xf numFmtId="0" fontId="95" fillId="14" borderId="42" xfId="66" applyFill="1" applyBorder="1">
      <alignment/>
      <protection/>
    </xf>
    <xf numFmtId="0" fontId="95" fillId="14" borderId="43" xfId="66" applyFill="1" applyBorder="1">
      <alignment/>
      <protection/>
    </xf>
    <xf numFmtId="0" fontId="95" fillId="14" borderId="44" xfId="66" applyFill="1" applyBorder="1">
      <alignment/>
      <protection/>
    </xf>
    <xf numFmtId="0" fontId="95" fillId="14" borderId="45" xfId="66" applyFill="1" applyBorder="1">
      <alignment/>
      <protection/>
    </xf>
    <xf numFmtId="0" fontId="96" fillId="14" borderId="40" xfId="0" applyFont="1" applyFill="1" applyBorder="1" applyAlignment="1">
      <alignment/>
    </xf>
    <xf numFmtId="0" fontId="0" fillId="14" borderId="41" xfId="0" applyFill="1" applyBorder="1" applyAlignment="1">
      <alignment/>
    </xf>
    <xf numFmtId="0" fontId="96" fillId="14" borderId="44" xfId="0" applyFont="1" applyFill="1" applyBorder="1" applyAlignment="1">
      <alignment/>
    </xf>
    <xf numFmtId="0" fontId="0" fillId="14" borderId="45" xfId="0" applyFill="1" applyBorder="1" applyAlignment="1">
      <alignment horizontal="right"/>
    </xf>
    <xf numFmtId="0" fontId="0" fillId="18" borderId="0" xfId="0" applyFill="1" applyAlignment="1" applyProtection="1">
      <alignment vertical="center"/>
      <protection hidden="1"/>
    </xf>
    <xf numFmtId="0" fontId="0" fillId="18" borderId="0" xfId="0" applyFill="1" applyAlignment="1" applyProtection="1">
      <alignment vertical="center"/>
      <protection hidden="1"/>
    </xf>
    <xf numFmtId="0" fontId="0" fillId="18" borderId="0" xfId="0" applyFill="1" applyAlignment="1" applyProtection="1">
      <alignment vertical="center"/>
      <protection locked="0"/>
    </xf>
    <xf numFmtId="0" fontId="0" fillId="18" borderId="34" xfId="0" applyFill="1" applyBorder="1" applyAlignment="1" applyProtection="1">
      <alignment vertical="center"/>
      <protection hidden="1"/>
    </xf>
    <xf numFmtId="0" fontId="0" fillId="18" borderId="35" xfId="0" applyFill="1" applyBorder="1" applyAlignment="1" applyProtection="1">
      <alignment vertical="center"/>
      <protection hidden="1"/>
    </xf>
    <xf numFmtId="0" fontId="2" fillId="18" borderId="0" xfId="0" applyFont="1" applyFill="1" applyAlignment="1" applyProtection="1">
      <alignment vertical="center"/>
      <protection hidden="1"/>
    </xf>
    <xf numFmtId="0" fontId="2" fillId="18" borderId="34" xfId="0" applyFont="1" applyFill="1" applyBorder="1" applyAlignment="1" applyProtection="1">
      <alignment vertical="center"/>
      <protection hidden="1"/>
    </xf>
    <xf numFmtId="0" fontId="131" fillId="36" borderId="14" xfId="0" applyFont="1" applyFill="1" applyBorder="1" applyAlignment="1" applyProtection="1">
      <alignment vertical="center"/>
      <protection hidden="1"/>
    </xf>
    <xf numFmtId="0" fontId="131" fillId="36" borderId="0" xfId="0" applyFont="1" applyFill="1" applyAlignment="1" applyProtection="1">
      <alignment vertical="center"/>
      <protection hidden="1"/>
    </xf>
    <xf numFmtId="0" fontId="131" fillId="36" borderId="15" xfId="0" applyFont="1" applyFill="1" applyBorder="1" applyAlignment="1" applyProtection="1">
      <alignment vertical="center"/>
      <protection hidden="1"/>
    </xf>
    <xf numFmtId="0" fontId="0" fillId="37" borderId="34" xfId="0" applyFill="1" applyBorder="1" applyAlignment="1" applyProtection="1">
      <alignment vertical="center"/>
      <protection hidden="1"/>
    </xf>
    <xf numFmtId="0" fontId="0" fillId="37" borderId="35" xfId="0" applyFill="1" applyBorder="1" applyAlignment="1" applyProtection="1">
      <alignment vertical="center"/>
      <protection hidden="1"/>
    </xf>
    <xf numFmtId="0" fontId="23" fillId="0" borderId="31" xfId="0" applyFont="1" applyBorder="1" applyAlignment="1" applyProtection="1">
      <alignment horizontal="center" vertical="center"/>
      <protection hidden="1"/>
    </xf>
    <xf numFmtId="0" fontId="23" fillId="0" borderId="32" xfId="0" applyFont="1" applyBorder="1" applyAlignment="1" applyProtection="1">
      <alignment vertical="center"/>
      <protection hidden="1"/>
    </xf>
    <xf numFmtId="0" fontId="0" fillId="0" borderId="0" xfId="0" applyFont="1" applyAlignment="1" applyProtection="1">
      <alignment/>
      <protection hidden="1" locked="0"/>
    </xf>
    <xf numFmtId="0" fontId="102" fillId="0" borderId="33" xfId="52" applyBorder="1" applyAlignment="1" applyProtection="1">
      <alignment horizontal="center" vertical="center"/>
      <protection hidden="1"/>
    </xf>
    <xf numFmtId="14" fontId="95" fillId="14" borderId="0" xfId="66" applyNumberFormat="1" applyFill="1">
      <alignment/>
      <protection/>
    </xf>
    <xf numFmtId="0" fontId="0" fillId="0" borderId="0" xfId="0" applyFont="1" applyAlignment="1" applyProtection="1">
      <alignment horizontal="justify" vertical="top" wrapText="1"/>
      <protection hidden="1"/>
    </xf>
    <xf numFmtId="0" fontId="0" fillId="0" borderId="0" xfId="0" applyFont="1" applyAlignment="1" applyProtection="1">
      <alignment horizontal="left" vertical="top" wrapText="1"/>
      <protection hidden="1"/>
    </xf>
    <xf numFmtId="0" fontId="0" fillId="0" borderId="0" xfId="0" applyAlignment="1" applyProtection="1">
      <alignment horizontal="justify" wrapText="1"/>
      <protection hidden="1"/>
    </xf>
    <xf numFmtId="0" fontId="3" fillId="2" borderId="10"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indent="1"/>
      <protection locked="0"/>
    </xf>
    <xf numFmtId="0" fontId="0" fillId="14" borderId="0" xfId="0" applyFont="1" applyFill="1" applyAlignment="1" applyProtection="1">
      <alignment horizontal="left" vertical="center" indent="1"/>
      <protection hidden="1"/>
    </xf>
    <xf numFmtId="0" fontId="0" fillId="14" borderId="0" xfId="0" applyFont="1" applyFill="1" applyAlignment="1" applyProtection="1">
      <alignment horizontal="left" vertical="center" indent="1"/>
      <protection hidden="1"/>
    </xf>
    <xf numFmtId="7" fontId="3" fillId="2" borderId="10" xfId="0" applyNumberFormat="1" applyFont="1" applyFill="1" applyBorder="1" applyAlignment="1" applyProtection="1">
      <alignment horizontal="left" vertical="center" indent="1"/>
      <protection locked="0"/>
    </xf>
    <xf numFmtId="0" fontId="23" fillId="8" borderId="10" xfId="0" applyFont="1" applyFill="1" applyBorder="1" applyAlignment="1" applyProtection="1">
      <alignment horizontal="left" vertical="center" indent="1"/>
      <protection hidden="1"/>
    </xf>
    <xf numFmtId="0" fontId="23" fillId="8" borderId="46" xfId="0" applyFont="1" applyFill="1" applyBorder="1" applyAlignment="1" applyProtection="1">
      <alignment horizontal="left" vertical="center" indent="1"/>
      <protection hidden="1"/>
    </xf>
    <xf numFmtId="0" fontId="23" fillId="8" borderId="37" xfId="0" applyFont="1" applyFill="1" applyBorder="1" applyAlignment="1" applyProtection="1">
      <alignment horizontal="left" vertical="center" indent="1"/>
      <protection hidden="1"/>
    </xf>
    <xf numFmtId="0" fontId="23" fillId="8" borderId="38" xfId="0" applyFont="1" applyFill="1" applyBorder="1" applyAlignment="1" applyProtection="1">
      <alignment horizontal="left" vertical="center" indent="1"/>
      <protection hidden="1"/>
    </xf>
    <xf numFmtId="0" fontId="23" fillId="8" borderId="39" xfId="0" applyFont="1" applyFill="1" applyBorder="1" applyAlignment="1" applyProtection="1">
      <alignment horizontal="left" vertical="center" indent="1"/>
      <protection hidden="1"/>
    </xf>
    <xf numFmtId="0" fontId="0" fillId="0" borderId="0" xfId="0" applyFont="1" applyAlignment="1" applyProtection="1">
      <alignment/>
      <protection hidden="1"/>
    </xf>
    <xf numFmtId="0" fontId="124" fillId="14" borderId="0" xfId="0" applyFont="1" applyFill="1" applyAlignment="1" applyProtection="1">
      <alignment vertical="center"/>
      <protection hidden="1"/>
    </xf>
    <xf numFmtId="0" fontId="3" fillId="2" borderId="31" xfId="0" applyFont="1" applyFill="1" applyBorder="1" applyAlignment="1" applyProtection="1">
      <alignment horizontal="left" vertical="center" indent="1"/>
      <protection locked="0"/>
    </xf>
    <xf numFmtId="0" fontId="3" fillId="2" borderId="32" xfId="0" applyFont="1" applyFill="1" applyBorder="1" applyAlignment="1" applyProtection="1">
      <alignment horizontal="left" vertical="center" indent="1"/>
      <protection locked="0"/>
    </xf>
    <xf numFmtId="0" fontId="3" fillId="2" borderId="33" xfId="0" applyFont="1" applyFill="1" applyBorder="1" applyAlignment="1" applyProtection="1">
      <alignment horizontal="left" vertical="center" indent="1"/>
      <protection locked="0"/>
    </xf>
    <xf numFmtId="0" fontId="133" fillId="8" borderId="0" xfId="0" applyFont="1" applyFill="1" applyAlignment="1" applyProtection="1">
      <alignment horizontal="center" vertical="center"/>
      <protection hidden="1"/>
    </xf>
    <xf numFmtId="0" fontId="134" fillId="8" borderId="0" xfId="0" applyFont="1" applyFill="1" applyAlignment="1" applyProtection="1">
      <alignment horizontal="center" vertical="center"/>
      <protection hidden="1"/>
    </xf>
    <xf numFmtId="0" fontId="135" fillId="8" borderId="0" xfId="0" applyFont="1" applyFill="1" applyAlignment="1" applyProtection="1">
      <alignment horizontal="center" vertical="center"/>
      <protection hidden="1"/>
    </xf>
    <xf numFmtId="0" fontId="3" fillId="2" borderId="46" xfId="0" applyFont="1" applyFill="1" applyBorder="1" applyAlignment="1" applyProtection="1">
      <alignment horizontal="left" vertical="center" indent="1"/>
      <protection locked="0"/>
    </xf>
    <xf numFmtId="0" fontId="23" fillId="8" borderId="47" xfId="0" applyFont="1" applyFill="1" applyBorder="1" applyAlignment="1" applyProtection="1">
      <alignment horizontal="left" vertical="center" indent="1"/>
      <protection hidden="1"/>
    </xf>
    <xf numFmtId="0" fontId="2" fillId="8" borderId="37" xfId="0" applyFont="1" applyFill="1" applyBorder="1" applyAlignment="1" applyProtection="1">
      <alignment horizontal="left" vertical="center" indent="1"/>
      <protection hidden="1"/>
    </xf>
    <xf numFmtId="0" fontId="2" fillId="8" borderId="38" xfId="0" applyFont="1" applyFill="1" applyBorder="1" applyAlignment="1" applyProtection="1">
      <alignment horizontal="left" vertical="center" indent="1"/>
      <protection hidden="1"/>
    </xf>
    <xf numFmtId="0" fontId="2" fillId="8" borderId="39" xfId="0" applyFont="1" applyFill="1" applyBorder="1" applyAlignment="1" applyProtection="1">
      <alignment horizontal="left" vertical="center" indent="1"/>
      <protection hidden="1"/>
    </xf>
    <xf numFmtId="0" fontId="2" fillId="8" borderId="48" xfId="0" applyFont="1" applyFill="1" applyBorder="1" applyAlignment="1" applyProtection="1">
      <alignment horizontal="left" vertical="center" indent="1"/>
      <protection hidden="1"/>
    </xf>
    <xf numFmtId="0" fontId="9" fillId="2" borderId="49"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wrapText="1" indent="1"/>
      <protection locked="0"/>
    </xf>
    <xf numFmtId="14" fontId="3" fillId="2" borderId="10" xfId="0" applyNumberFormat="1" applyFont="1" applyFill="1" applyBorder="1" applyAlignment="1" applyProtection="1">
      <alignment horizontal="left" vertical="center" indent="1"/>
      <protection locked="0"/>
    </xf>
    <xf numFmtId="14" fontId="0" fillId="2" borderId="10" xfId="0" applyNumberFormat="1" applyFont="1" applyFill="1" applyBorder="1" applyAlignment="1" applyProtection="1">
      <alignment horizontal="right" vertical="center"/>
      <protection hidden="1"/>
    </xf>
    <xf numFmtId="0" fontId="136" fillId="0" borderId="32" xfId="0" applyFont="1" applyBorder="1" applyAlignment="1" applyProtection="1">
      <alignment horizontal="center" vertical="center"/>
      <protection hidden="1"/>
    </xf>
    <xf numFmtId="0" fontId="0" fillId="0" borderId="0" xfId="0" applyAlignment="1" applyProtection="1">
      <alignment vertical="top"/>
      <protection hidden="1"/>
    </xf>
    <xf numFmtId="0" fontId="4" fillId="0" borderId="0" xfId="0" applyFont="1" applyAlignment="1" applyProtection="1" quotePrefix="1">
      <alignment horizontal="justify" vertical="top"/>
      <protection hidden="1"/>
    </xf>
    <xf numFmtId="0" fontId="4" fillId="0" borderId="0" xfId="0" applyFont="1" applyAlignment="1" applyProtection="1">
      <alignment horizontal="justify" vertical="top"/>
      <protection hidden="1"/>
    </xf>
    <xf numFmtId="0" fontId="15" fillId="0" borderId="0" xfId="0" applyFont="1" applyAlignment="1" applyProtection="1">
      <alignment horizontal="left" vertical="top"/>
      <protection hidden="1"/>
    </xf>
    <xf numFmtId="0" fontId="0" fillId="0" borderId="0" xfId="0" applyFill="1" applyAlignment="1" applyProtection="1">
      <alignment vertical="center" wrapText="1"/>
      <protection hidden="1"/>
    </xf>
    <xf numFmtId="0" fontId="0" fillId="18" borderId="0" xfId="0" applyFill="1" applyAlignment="1" applyProtection="1">
      <alignment horizontal="center" vertical="center"/>
      <protection hidden="1"/>
    </xf>
    <xf numFmtId="0" fontId="30" fillId="0" borderId="10" xfId="0" applyFont="1" applyBorder="1" applyAlignment="1">
      <alignment horizontal="center" vertical="center" wrapText="1"/>
    </xf>
    <xf numFmtId="0" fontId="0" fillId="0" borderId="0" xfId="0" applyAlignment="1" applyProtection="1">
      <alignment horizontal="left" wrapText="1"/>
      <protection hidden="1"/>
    </xf>
    <xf numFmtId="0" fontId="0" fillId="0" borderId="0" xfId="0" applyFont="1" applyAlignment="1" applyProtection="1">
      <alignment wrapText="1"/>
      <protection hidden="1"/>
    </xf>
    <xf numFmtId="0" fontId="0" fillId="0" borderId="0" xfId="0" applyFont="1" applyAlignment="1" applyProtection="1">
      <alignment horizontal="justify" wrapText="1"/>
      <protection hidden="1"/>
    </xf>
    <xf numFmtId="0" fontId="33" fillId="0" borderId="0" xfId="0" applyFont="1" applyAlignment="1" applyProtection="1">
      <alignment horizontal="center" wrapText="1"/>
      <protection hidden="1"/>
    </xf>
    <xf numFmtId="0" fontId="0" fillId="0" borderId="10" xfId="0" applyBorder="1" applyAlignment="1" applyProtection="1">
      <alignment/>
      <protection hidden="1"/>
    </xf>
    <xf numFmtId="0" fontId="0" fillId="0" borderId="10" xfId="0" applyBorder="1" applyAlignment="1" applyProtection="1">
      <alignment horizontal="right"/>
      <protection hidden="1"/>
    </xf>
    <xf numFmtId="0" fontId="0" fillId="0" borderId="0" xfId="0" applyAlignment="1" applyProtection="1">
      <alignment horizontal="center"/>
      <protection hidden="1"/>
    </xf>
    <xf numFmtId="180" fontId="0" fillId="0" borderId="10" xfId="0" applyNumberFormat="1" applyBorder="1" applyAlignment="1" applyProtection="1">
      <alignment/>
      <protection hidden="1"/>
    </xf>
    <xf numFmtId="2" fontId="33" fillId="0" borderId="0" xfId="0" applyNumberFormat="1" applyFont="1" applyAlignment="1" applyProtection="1">
      <alignment horizontal="center" vertical="center" wrapText="1"/>
      <protection hidden="1"/>
    </xf>
    <xf numFmtId="0" fontId="0" fillId="0" borderId="0" xfId="0" applyAlignment="1" applyProtection="1">
      <alignment horizontal="right" wrapText="1" indent="2"/>
      <protection hidden="1"/>
    </xf>
    <xf numFmtId="0" fontId="95" fillId="8" borderId="10" xfId="66" applyFill="1" applyBorder="1" applyAlignment="1">
      <alignment horizontal="left" indent="1"/>
      <protection/>
    </xf>
    <xf numFmtId="0" fontId="137" fillId="38" borderId="10" xfId="0" applyFont="1" applyFill="1" applyBorder="1" applyAlignment="1">
      <alignment horizontal="left" indent="1"/>
    </xf>
    <xf numFmtId="0" fontId="0" fillId="14" borderId="0" xfId="0" applyFill="1" applyAlignment="1">
      <alignment horizontal="left" indent="1"/>
    </xf>
    <xf numFmtId="0" fontId="137" fillId="38" borderId="0" xfId="0" applyFont="1" applyFill="1" applyAlignment="1">
      <alignment horizontal="left" indent="1"/>
    </xf>
    <xf numFmtId="3" fontId="3" fillId="2" borderId="10" xfId="0" applyNumberFormat="1" applyFont="1" applyFill="1" applyBorder="1" applyAlignment="1" applyProtection="1" quotePrefix="1">
      <alignment horizontal="left" vertical="center" indent="1"/>
      <protection locked="0"/>
    </xf>
    <xf numFmtId="49" fontId="3" fillId="2" borderId="47" xfId="0" applyNumberFormat="1" applyFont="1" applyFill="1" applyBorder="1" applyAlignment="1" applyProtection="1">
      <alignment horizontal="left" vertical="center" indent="1"/>
      <protection locked="0"/>
    </xf>
    <xf numFmtId="49" fontId="138" fillId="8" borderId="0" xfId="0" applyNumberFormat="1" applyFont="1" applyFill="1" applyAlignment="1" applyProtection="1">
      <alignment vertical="center"/>
      <protection hidden="1" locked="0"/>
    </xf>
    <xf numFmtId="49" fontId="124" fillId="14" borderId="0" xfId="0" applyNumberFormat="1" applyFont="1" applyFill="1" applyAlignment="1" applyProtection="1">
      <alignment vertical="center"/>
      <protection hidden="1" locked="0"/>
    </xf>
    <xf numFmtId="49" fontId="124" fillId="14" borderId="0" xfId="0" applyNumberFormat="1" applyFont="1" applyFill="1" applyAlignment="1" applyProtection="1">
      <alignment vertical="center" wrapText="1"/>
      <protection hidden="1" locked="0"/>
    </xf>
    <xf numFmtId="0" fontId="102" fillId="0" borderId="32" xfId="52" applyBorder="1" applyAlignment="1" applyProtection="1">
      <alignment horizontal="center" vertical="center"/>
      <protection hidden="1"/>
    </xf>
    <xf numFmtId="49" fontId="139" fillId="8" borderId="0" xfId="0" applyNumberFormat="1" applyFont="1" applyFill="1" applyAlignment="1" applyProtection="1">
      <alignment vertical="center"/>
      <protection hidden="1" locked="0"/>
    </xf>
    <xf numFmtId="49" fontId="139" fillId="14" borderId="0" xfId="0" applyNumberFormat="1" applyFont="1" applyFill="1" applyAlignment="1" applyProtection="1">
      <alignment vertical="center"/>
      <protection hidden="1" locked="0"/>
    </xf>
    <xf numFmtId="7" fontId="139" fillId="14" borderId="0" xfId="0" applyNumberFormat="1" applyFont="1" applyFill="1" applyAlignment="1" applyProtection="1">
      <alignment vertical="center"/>
      <protection hidden="1" locked="0"/>
    </xf>
    <xf numFmtId="49" fontId="139" fillId="14" borderId="0" xfId="0" applyNumberFormat="1" applyFont="1" applyFill="1" applyAlignment="1" applyProtection="1">
      <alignment vertical="center" wrapText="1"/>
      <protection hidden="1" locked="0"/>
    </xf>
    <xf numFmtId="49" fontId="138" fillId="14" borderId="0" xfId="0" applyNumberFormat="1" applyFont="1" applyFill="1" applyAlignment="1" applyProtection="1">
      <alignment vertical="center"/>
      <protection hidden="1" locked="0"/>
    </xf>
    <xf numFmtId="49" fontId="138" fillId="0" borderId="0" xfId="0" applyNumberFormat="1" applyFont="1" applyAlignment="1" applyProtection="1">
      <alignment vertical="center"/>
      <protection hidden="1" locked="0"/>
    </xf>
    <xf numFmtId="49" fontId="0" fillId="14" borderId="0" xfId="0" applyNumberFormat="1" applyFont="1" applyFill="1" applyAlignment="1" applyProtection="1">
      <alignment vertical="center"/>
      <protection hidden="1" locked="0"/>
    </xf>
    <xf numFmtId="49" fontId="0" fillId="0" borderId="0" xfId="0" applyNumberFormat="1" applyFont="1" applyAlignment="1" applyProtection="1">
      <alignment vertical="center"/>
      <protection hidden="1" locked="0"/>
    </xf>
    <xf numFmtId="181" fontId="139" fillId="8" borderId="0" xfId="0" applyNumberFormat="1" applyFont="1" applyFill="1" applyAlignment="1" applyProtection="1">
      <alignment vertical="center"/>
      <protection hidden="1" locked="0"/>
    </xf>
    <xf numFmtId="181" fontId="139" fillId="14" borderId="0" xfId="0" applyNumberFormat="1" applyFont="1" applyFill="1" applyAlignment="1" applyProtection="1">
      <alignment vertical="center"/>
      <protection hidden="1" locked="0"/>
    </xf>
    <xf numFmtId="180" fontId="3" fillId="2" borderId="10" xfId="0" applyNumberFormat="1" applyFont="1" applyFill="1" applyBorder="1" applyAlignment="1" applyProtection="1">
      <alignment horizontal="left" vertical="center" indent="1"/>
      <protection locked="0"/>
    </xf>
    <xf numFmtId="3" fontId="3" fillId="2" borderId="10" xfId="0" applyNumberFormat="1" applyFont="1" applyFill="1" applyBorder="1" applyAlignment="1" applyProtection="1" quotePrefix="1">
      <alignment horizontal="left" vertical="center" indent="1"/>
      <protection locked="0"/>
    </xf>
    <xf numFmtId="0" fontId="116" fillId="2" borderId="21" xfId="0" applyFont="1"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0" fillId="0" borderId="10" xfId="0" applyNumberFormat="1" applyBorder="1" applyAlignment="1" applyProtection="1">
      <alignment/>
      <protection hidden="1"/>
    </xf>
    <xf numFmtId="44" fontId="0" fillId="0" borderId="10" xfId="0" applyNumberFormat="1" applyBorder="1" applyAlignment="1" applyProtection="1">
      <alignment/>
      <protection hidden="1"/>
    </xf>
    <xf numFmtId="0" fontId="16" fillId="0" borderId="0" xfId="0" applyFont="1" applyAlignment="1" applyProtection="1">
      <alignment horizontal="left" wrapText="1" indent="38"/>
      <protection hidden="1"/>
    </xf>
    <xf numFmtId="0" fontId="0" fillId="0" borderId="0" xfId="0" applyAlignment="1" applyProtection="1">
      <alignment horizontal="left" wrapText="1" indent="38"/>
      <protection hidden="1"/>
    </xf>
    <xf numFmtId="0" fontId="16" fillId="0" borderId="0" xfId="0" applyFont="1" applyAlignment="1" applyProtection="1">
      <alignment vertical="top" wrapText="1"/>
      <protection hidden="1"/>
    </xf>
    <xf numFmtId="0" fontId="0" fillId="18" borderId="3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8" fillId="0" borderId="10" xfId="0" applyFont="1" applyBorder="1" applyAlignment="1">
      <alignment horizontal="left" vertical="center" wrapText="1" indent="1"/>
    </xf>
    <xf numFmtId="14" fontId="8" fillId="0" borderId="10" xfId="0" applyNumberFormat="1" applyFont="1" applyBorder="1" applyAlignment="1">
      <alignment horizontal="center" vertical="center" wrapText="1"/>
    </xf>
    <xf numFmtId="0" fontId="0" fillId="0" borderId="0" xfId="0" applyFill="1" applyAlignment="1" applyProtection="1">
      <alignment wrapText="1"/>
      <protection hidden="1"/>
    </xf>
    <xf numFmtId="0" fontId="0" fillId="0" borderId="0" xfId="0" applyFill="1" applyAlignment="1" applyProtection="1">
      <alignment horizontal="justify" wrapText="1"/>
      <protection hidden="1"/>
    </xf>
    <xf numFmtId="0" fontId="140" fillId="14" borderId="10" xfId="0" applyFont="1" applyFill="1" applyBorder="1" applyAlignment="1" applyProtection="1">
      <alignment horizontal="center" vertical="center"/>
      <protection hidden="1"/>
    </xf>
    <xf numFmtId="0" fontId="139" fillId="38" borderId="50" xfId="0" applyFont="1" applyFill="1" applyBorder="1" applyAlignment="1">
      <alignment horizontal="left" vertical="top" wrapText="1" indent="1"/>
    </xf>
    <xf numFmtId="0" fontId="139" fillId="38" borderId="51" xfId="0" applyFont="1" applyFill="1" applyBorder="1" applyAlignment="1">
      <alignment horizontal="left" vertical="top" wrapText="1" indent="1"/>
    </xf>
    <xf numFmtId="0" fontId="139" fillId="38" borderId="41" xfId="0" applyFont="1" applyFill="1" applyBorder="1" applyAlignment="1">
      <alignment horizontal="left" vertical="top" wrapText="1" indent="1"/>
    </xf>
    <xf numFmtId="0" fontId="139" fillId="38" borderId="14" xfId="0" applyFont="1" applyFill="1" applyBorder="1" applyAlignment="1">
      <alignment horizontal="left" vertical="top" wrapText="1" indent="1"/>
    </xf>
    <xf numFmtId="0" fontId="139" fillId="38" borderId="0" xfId="0" applyFont="1" applyFill="1" applyAlignment="1">
      <alignment horizontal="left" vertical="top" wrapText="1" indent="1"/>
    </xf>
    <xf numFmtId="0" fontId="139" fillId="38" borderId="43" xfId="0" applyFont="1" applyFill="1" applyBorder="1" applyAlignment="1">
      <alignment horizontal="left" vertical="top" wrapText="1" indent="1"/>
    </xf>
    <xf numFmtId="0" fontId="139" fillId="38" borderId="52" xfId="0" applyFont="1" applyFill="1" applyBorder="1" applyAlignment="1">
      <alignment horizontal="left" vertical="top" wrapText="1" indent="1"/>
    </xf>
    <xf numFmtId="0" fontId="139" fillId="38" borderId="53" xfId="0" applyFont="1" applyFill="1" applyBorder="1" applyAlignment="1">
      <alignment horizontal="left" vertical="top" wrapText="1" indent="1"/>
    </xf>
    <xf numFmtId="0" fontId="139" fillId="38" borderId="45" xfId="0" applyFont="1" applyFill="1" applyBorder="1" applyAlignment="1">
      <alignment horizontal="left" vertical="top" wrapText="1" indent="1"/>
    </xf>
    <xf numFmtId="0" fontId="0" fillId="38" borderId="54" xfId="0" applyFill="1" applyBorder="1" applyAlignment="1">
      <alignment horizontal="left" indent="1"/>
    </xf>
    <xf numFmtId="0" fontId="0" fillId="38" borderId="55" xfId="0" applyFill="1" applyBorder="1" applyAlignment="1">
      <alignment horizontal="left" indent="1"/>
    </xf>
    <xf numFmtId="0" fontId="95" fillId="8" borderId="10" xfId="66" applyFill="1" applyBorder="1" applyAlignment="1">
      <alignment horizontal="left" vertical="top" indent="1"/>
      <protection/>
    </xf>
    <xf numFmtId="0" fontId="141" fillId="39" borderId="0" xfId="0" applyFont="1" applyFill="1" applyAlignment="1" applyProtection="1">
      <alignment horizontal="center" vertical="center"/>
      <protection hidden="1"/>
    </xf>
    <xf numFmtId="0" fontId="141" fillId="39" borderId="34" xfId="0" applyFont="1" applyFill="1" applyBorder="1" applyAlignment="1" applyProtection="1">
      <alignment horizontal="center" vertical="center"/>
      <protection hidden="1"/>
    </xf>
    <xf numFmtId="7" fontId="3" fillId="2" borderId="11" xfId="0" applyNumberFormat="1" applyFont="1" applyFill="1" applyBorder="1" applyAlignment="1" applyProtection="1">
      <alignment horizontal="left" vertical="top" wrapText="1" indent="1"/>
      <protection locked="0"/>
    </xf>
    <xf numFmtId="7" fontId="3" fillId="2" borderId="13" xfId="0" applyNumberFormat="1" applyFont="1" applyFill="1" applyBorder="1" applyAlignment="1" applyProtection="1">
      <alignment horizontal="left" vertical="top" wrapText="1" indent="1"/>
      <protection locked="0"/>
    </xf>
    <xf numFmtId="7" fontId="3" fillId="2" borderId="14" xfId="0" applyNumberFormat="1" applyFont="1" applyFill="1" applyBorder="1" applyAlignment="1" applyProtection="1">
      <alignment horizontal="left" vertical="top" wrapText="1" indent="1"/>
      <protection locked="0"/>
    </xf>
    <xf numFmtId="7" fontId="3" fillId="2" borderId="15" xfId="0" applyNumberFormat="1" applyFont="1" applyFill="1" applyBorder="1" applyAlignment="1" applyProtection="1">
      <alignment horizontal="left" vertical="top" wrapText="1" indent="1"/>
      <protection locked="0"/>
    </xf>
    <xf numFmtId="7" fontId="3" fillId="2" borderId="16" xfId="0" applyNumberFormat="1" applyFont="1" applyFill="1" applyBorder="1" applyAlignment="1" applyProtection="1">
      <alignment horizontal="left" vertical="top" wrapText="1" indent="1"/>
      <protection locked="0"/>
    </xf>
    <xf numFmtId="7" fontId="3" fillId="2" borderId="18" xfId="0" applyNumberFormat="1" applyFont="1" applyFill="1" applyBorder="1" applyAlignment="1" applyProtection="1">
      <alignment horizontal="left" vertical="top" wrapText="1" indent="1"/>
      <protection locked="0"/>
    </xf>
    <xf numFmtId="0" fontId="142" fillId="35" borderId="0" xfId="0" applyFont="1" applyFill="1" applyAlignment="1" applyProtection="1">
      <alignment horizontal="center" vertical="center"/>
      <protection hidden="1"/>
    </xf>
    <xf numFmtId="0" fontId="9" fillId="8" borderId="56" xfId="0" applyFont="1" applyFill="1" applyBorder="1" applyAlignment="1" applyProtection="1">
      <alignment horizontal="center" vertical="center" wrapText="1"/>
      <protection hidden="1"/>
    </xf>
    <xf numFmtId="0" fontId="9" fillId="8" borderId="57" xfId="0" applyFont="1" applyFill="1" applyBorder="1" applyAlignment="1" applyProtection="1">
      <alignment horizontal="center" vertical="center" wrapText="1"/>
      <protection hidden="1"/>
    </xf>
    <xf numFmtId="0" fontId="142" fillId="35" borderId="58" xfId="0" applyFont="1" applyFill="1" applyBorder="1" applyAlignment="1" applyProtection="1">
      <alignment horizontal="center" vertical="center"/>
      <protection hidden="1"/>
    </xf>
    <xf numFmtId="0" fontId="142" fillId="35" borderId="59" xfId="0" applyFont="1" applyFill="1" applyBorder="1" applyAlignment="1" applyProtection="1">
      <alignment horizontal="center" vertical="center"/>
      <protection hidden="1"/>
    </xf>
    <xf numFmtId="0" fontId="142" fillId="35" borderId="60" xfId="0" applyFont="1" applyFill="1" applyBorder="1" applyAlignment="1" applyProtection="1">
      <alignment horizontal="center" vertical="center"/>
      <protection hidden="1"/>
    </xf>
    <xf numFmtId="0" fontId="121" fillId="33" borderId="0" xfId="0" applyFont="1" applyFill="1" applyAlignment="1">
      <alignment horizontal="left" vertical="center" wrapText="1"/>
    </xf>
    <xf numFmtId="0" fontId="12" fillId="40" borderId="0" xfId="0" applyFont="1" applyFill="1" applyAlignment="1" applyProtection="1">
      <alignment horizontal="center" vertical="center"/>
      <protection hidden="1"/>
    </xf>
    <xf numFmtId="0" fontId="0" fillId="0" borderId="10" xfId="0" applyFont="1" applyBorder="1" applyAlignment="1" applyProtection="1">
      <alignment vertical="center"/>
      <protection hidden="1"/>
    </xf>
    <xf numFmtId="0" fontId="6" fillId="34" borderId="0" xfId="0" applyFont="1" applyFill="1" applyAlignment="1">
      <alignment horizontal="center" vertical="center"/>
    </xf>
    <xf numFmtId="0" fontId="6" fillId="14" borderId="0" xfId="0" applyFont="1" applyFill="1" applyAlignment="1">
      <alignment horizontal="center" vertical="center"/>
    </xf>
    <xf numFmtId="0" fontId="143" fillId="0" borderId="0" xfId="0" applyFont="1" applyAlignment="1">
      <alignment horizontal="center" vertical="center"/>
    </xf>
    <xf numFmtId="0" fontId="116" fillId="0" borderId="11" xfId="0" applyFont="1" applyBorder="1" applyAlignment="1">
      <alignment vertical="center" wrapText="1"/>
    </xf>
    <xf numFmtId="0" fontId="116" fillId="0" borderId="12" xfId="0" applyFont="1" applyBorder="1" applyAlignment="1">
      <alignment vertical="center" wrapText="1"/>
    </xf>
    <xf numFmtId="0" fontId="116" fillId="0" borderId="13" xfId="0" applyFont="1" applyBorder="1" applyAlignment="1">
      <alignment vertical="center" wrapText="1"/>
    </xf>
    <xf numFmtId="0" fontId="0" fillId="2" borderId="0" xfId="0" applyFill="1" applyAlignment="1" applyProtection="1">
      <alignment horizontal="center" vertical="center"/>
      <protection hidden="1"/>
    </xf>
    <xf numFmtId="0" fontId="0" fillId="2" borderId="17" xfId="0" applyFill="1" applyBorder="1" applyAlignment="1" applyProtection="1">
      <alignment horizontal="center" vertical="center"/>
      <protection hidden="1"/>
    </xf>
    <xf numFmtId="0" fontId="3" fillId="0" borderId="1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justify" vertical="top"/>
      <protection hidden="1"/>
    </xf>
    <xf numFmtId="0" fontId="3" fillId="0" borderId="0" xfId="0" applyFont="1" applyAlignment="1" applyProtection="1">
      <alignment horizontal="justify" vertical="top" wrapText="1"/>
      <protection hidden="1"/>
    </xf>
    <xf numFmtId="0" fontId="129" fillId="34" borderId="10" xfId="0" applyFont="1" applyFill="1" applyBorder="1" applyAlignment="1">
      <alignment horizontal="center" vertical="center" wrapText="1"/>
    </xf>
    <xf numFmtId="0" fontId="129" fillId="1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144" fillId="0" borderId="0" xfId="0" applyFont="1" applyAlignment="1">
      <alignment horizontal="center" vertical="center"/>
    </xf>
    <xf numFmtId="0" fontId="0" fillId="0" borderId="21"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7" fontId="0"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34" borderId="21" xfId="0" applyFont="1" applyFill="1" applyBorder="1" applyAlignment="1">
      <alignment horizontal="left" vertical="center"/>
    </xf>
    <xf numFmtId="0" fontId="129" fillId="34" borderId="10" xfId="0" applyFont="1" applyFill="1" applyBorder="1" applyAlignment="1">
      <alignment horizontal="center" vertical="center"/>
    </xf>
    <xf numFmtId="0" fontId="145" fillId="0" borderId="0" xfId="0" applyFont="1" applyAlignment="1">
      <alignment horizontal="center" vertical="center"/>
    </xf>
    <xf numFmtId="0" fontId="146" fillId="0" borderId="11" xfId="0" applyFont="1" applyBorder="1" applyAlignment="1">
      <alignment horizontal="center" vertical="center"/>
    </xf>
    <xf numFmtId="0" fontId="146" fillId="0" borderId="12" xfId="0" applyFont="1" applyBorder="1" applyAlignment="1">
      <alignment horizontal="center" vertical="center"/>
    </xf>
    <xf numFmtId="0" fontId="146" fillId="0" borderId="13" xfId="0" applyFont="1" applyBorder="1" applyAlignment="1">
      <alignment horizontal="center" vertical="center"/>
    </xf>
    <xf numFmtId="0" fontId="0" fillId="0" borderId="21" xfId="0" applyFont="1" applyBorder="1" applyAlignment="1">
      <alignment horizontal="lef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textRotation="90"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29" fillId="34" borderId="10" xfId="0" applyFont="1" applyFill="1" applyBorder="1" applyAlignment="1" applyProtection="1">
      <alignment horizontal="center" vertical="center" wrapText="1"/>
      <protection hidden="1"/>
    </xf>
    <xf numFmtId="0" fontId="129" fillId="15" borderId="10" xfId="0" applyFont="1" applyFill="1" applyBorder="1" applyAlignment="1" applyProtection="1">
      <alignment horizontal="center" vertical="center" wrapText="1"/>
      <protection hidden="1"/>
    </xf>
    <xf numFmtId="14" fontId="6" fillId="0" borderId="10" xfId="0" applyNumberFormat="1" applyFont="1" applyBorder="1" applyAlignment="1">
      <alignment horizontal="center" vertical="center" wrapText="1"/>
    </xf>
    <xf numFmtId="0" fontId="0" fillId="0" borderId="12" xfId="0" applyFont="1" applyBorder="1" applyAlignment="1">
      <alignment horizontal="left" vertical="top" wrapText="1"/>
    </xf>
    <xf numFmtId="0" fontId="0" fillId="0" borderId="12" xfId="0" applyBorder="1" applyAlignment="1">
      <alignment horizontal="left" vertical="top"/>
    </xf>
    <xf numFmtId="0" fontId="0" fillId="0" borderId="0" xfId="0" applyAlignment="1">
      <alignment horizontal="left" vertical="top"/>
    </xf>
    <xf numFmtId="0" fontId="0" fillId="0" borderId="11" xfId="0" applyFont="1" applyBorder="1" applyAlignment="1">
      <alignment horizontal="left" vertical="top" wrapText="1"/>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129" fillId="15" borderId="10" xfId="0" applyFont="1" applyFill="1" applyBorder="1" applyAlignment="1">
      <alignment horizontal="center" vertical="center"/>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9" fillId="0" borderId="0" xfId="0" applyFont="1" applyAlignment="1">
      <alignment horizontal="center"/>
    </xf>
    <xf numFmtId="0" fontId="147" fillId="18" borderId="0" xfId="0" applyFont="1" applyFill="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6" fillId="0" borderId="0" xfId="0" applyFont="1" applyAlignment="1" applyProtection="1">
      <alignment vertical="center"/>
      <protection hidden="1"/>
    </xf>
    <xf numFmtId="0" fontId="139" fillId="37" borderId="10" xfId="0" applyFont="1" applyFill="1" applyBorder="1" applyAlignment="1" applyProtection="1">
      <alignment vertical="center" wrapText="1"/>
      <protection locked="0"/>
    </xf>
    <xf numFmtId="0" fontId="0" fillId="0" borderId="0" xfId="0" applyAlignment="1" applyProtection="1">
      <alignment vertical="center" wrapText="1"/>
      <protection hidden="1"/>
    </xf>
    <xf numFmtId="0" fontId="0" fillId="0" borderId="10" xfId="0" applyBorder="1" applyAlignment="1" applyProtection="1">
      <alignment horizontal="left" vertical="center"/>
      <protection hidden="1"/>
    </xf>
    <xf numFmtId="0" fontId="139" fillId="37" borderId="0" xfId="0" applyFont="1" applyFill="1" applyAlignment="1" applyProtection="1">
      <alignment horizontal="left" vertical="center"/>
      <protection locked="0"/>
    </xf>
    <xf numFmtId="0" fontId="139" fillId="37" borderId="10" xfId="0" applyFont="1" applyFill="1" applyBorder="1" applyAlignment="1" applyProtection="1">
      <alignment vertical="center"/>
      <protection locked="0"/>
    </xf>
    <xf numFmtId="0" fontId="121" fillId="33" borderId="0" xfId="0" applyFont="1" applyFill="1" applyAlignment="1" applyProtection="1">
      <alignment horizontal="left" vertical="center" wrapText="1"/>
      <protection hidden="1"/>
    </xf>
    <xf numFmtId="0" fontId="0" fillId="34" borderId="10" xfId="0" applyFont="1" applyFill="1" applyBorder="1" applyAlignment="1" applyProtection="1">
      <alignment horizontal="left" vertical="center"/>
      <protection hidden="1"/>
    </xf>
    <xf numFmtId="0" fontId="0" fillId="15" borderId="10" xfId="0" applyFont="1" applyFill="1" applyBorder="1" applyAlignment="1" applyProtection="1">
      <alignment horizontal="left" vertical="center"/>
      <protection hidden="1"/>
    </xf>
    <xf numFmtId="0" fontId="3" fillId="34" borderId="10" xfId="0" applyFont="1" applyFill="1" applyBorder="1" applyAlignment="1" applyProtection="1">
      <alignment vertical="center"/>
      <protection hidden="1"/>
    </xf>
    <xf numFmtId="0" fontId="3" fillId="15" borderId="10" xfId="0" applyFont="1" applyFill="1" applyBorder="1" applyAlignment="1" applyProtection="1">
      <alignment vertical="center"/>
      <protection hidden="1"/>
    </xf>
    <xf numFmtId="0" fontId="14" fillId="0" borderId="0" xfId="0" applyFont="1" applyAlignment="1" applyProtection="1">
      <alignment horizontal="left" wrapText="1"/>
      <protection hidden="1"/>
    </xf>
    <xf numFmtId="0" fontId="26"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6" fillId="0" borderId="0" xfId="0" applyFont="1" applyAlignment="1" applyProtection="1">
      <alignment horizontal="left" vertical="center"/>
      <protection hidden="1"/>
    </xf>
    <xf numFmtId="0" fontId="148" fillId="37" borderId="21" xfId="0" applyFont="1" applyFill="1" applyBorder="1" applyAlignment="1" applyProtection="1" quotePrefix="1">
      <alignment horizontal="justify" vertical="center"/>
      <protection locked="0"/>
    </xf>
    <xf numFmtId="0" fontId="148" fillId="37" borderId="34" xfId="0" applyFont="1" applyFill="1" applyBorder="1" applyAlignment="1" applyProtection="1">
      <alignment horizontal="justify" vertical="center"/>
      <protection locked="0"/>
    </xf>
    <xf numFmtId="0" fontId="148" fillId="37" borderId="35" xfId="0" applyFont="1" applyFill="1" applyBorder="1" applyAlignment="1" applyProtection="1">
      <alignment horizontal="justify" vertical="center"/>
      <protection locked="0"/>
    </xf>
    <xf numFmtId="0" fontId="149" fillId="37" borderId="10" xfId="0" applyFont="1" applyFill="1" applyBorder="1" applyAlignment="1" applyProtection="1">
      <alignment horizontal="center" vertical="center" wrapText="1"/>
      <protection locked="0"/>
    </xf>
    <xf numFmtId="0" fontId="148" fillId="37" borderId="21" xfId="0" applyFont="1" applyFill="1" applyBorder="1" applyAlignment="1" applyProtection="1">
      <alignment horizontal="justify" vertical="center"/>
      <protection locked="0"/>
    </xf>
    <xf numFmtId="0" fontId="4" fillId="0" borderId="0" xfId="0" applyFont="1" applyAlignment="1" applyProtection="1">
      <alignment horizontal="justify" vertical="center"/>
      <protection hidden="1"/>
    </xf>
    <xf numFmtId="0" fontId="26" fillId="0" borderId="0" xfId="0" applyFont="1" applyAlignment="1" applyProtection="1">
      <alignment horizontal="justify" vertical="center"/>
      <protection hidden="1"/>
    </xf>
    <xf numFmtId="0" fontId="19" fillId="0" borderId="0" xfId="0" applyFont="1" applyAlignment="1" applyProtection="1">
      <alignment horizontal="justify" vertical="center"/>
      <protection hidden="1"/>
    </xf>
    <xf numFmtId="14" fontId="6" fillId="0" borderId="10" xfId="0" applyNumberFormat="1"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0" fillId="0" borderId="0" xfId="0" applyFont="1" applyBorder="1" applyAlignment="1" applyProtection="1">
      <alignment horizontal="left" vertical="top" wrapText="1"/>
      <protection hidden="1"/>
    </xf>
    <xf numFmtId="0" fontId="4" fillId="0" borderId="0" xfId="0" applyFont="1" applyAlignment="1" applyProtection="1" quotePrefix="1">
      <alignment horizontal="justify" vertical="center"/>
      <protection hidden="1"/>
    </xf>
    <xf numFmtId="0" fontId="20" fillId="0" borderId="0" xfId="0" applyFont="1" applyAlignment="1" applyProtection="1">
      <alignment vertical="center"/>
      <protection hidden="1"/>
    </xf>
    <xf numFmtId="0" fontId="4" fillId="0" borderId="0" xfId="0" applyFont="1" applyAlignment="1" applyProtection="1">
      <alignment horizontal="justify" vertical="top"/>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0" fontId="0" fillId="15" borderId="10" xfId="0" applyFill="1" applyBorder="1" applyAlignment="1" applyProtection="1">
      <alignment horizontal="left" vertical="center"/>
      <protection hidden="1"/>
    </xf>
    <xf numFmtId="0" fontId="0"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14" fillId="0" borderId="0" xfId="0" applyFont="1" applyAlignment="1" applyProtection="1">
      <alignment horizontal="left" vertical="center"/>
      <protection hidden="1"/>
    </xf>
    <xf numFmtId="14" fontId="0" fillId="0" borderId="10" xfId="0" applyNumberFormat="1" applyFont="1" applyBorder="1" applyAlignment="1" applyProtection="1">
      <alignment horizontal="left" vertical="center"/>
      <protection hidden="1"/>
    </xf>
    <xf numFmtId="0" fontId="17" fillId="34" borderId="0" xfId="0" applyFont="1" applyFill="1" applyAlignment="1" applyProtection="1">
      <alignment horizontal="center" vertical="center"/>
      <protection hidden="1"/>
    </xf>
    <xf numFmtId="0" fontId="17" fillId="15" borderId="0" xfId="0" applyFont="1" applyFill="1" applyAlignment="1" applyProtection="1">
      <alignment horizontal="center" vertical="center"/>
      <protection hidden="1"/>
    </xf>
    <xf numFmtId="0" fontId="3" fillId="34" borderId="21" xfId="0" applyFont="1" applyFill="1" applyBorder="1" applyAlignment="1" applyProtection="1">
      <alignment horizontal="left" vertical="center"/>
      <protection hidden="1"/>
    </xf>
    <xf numFmtId="0" fontId="3" fillId="15" borderId="35" xfId="0" applyFont="1" applyFill="1" applyBorder="1" applyAlignment="1" applyProtection="1">
      <alignment horizontal="left" vertical="center"/>
      <protection hidden="1"/>
    </xf>
    <xf numFmtId="0" fontId="3" fillId="0" borderId="21"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3" fillId="0" borderId="21" xfId="0" applyFont="1" applyBorder="1" applyAlignment="1" applyProtection="1">
      <alignment horizontal="left" vertical="center" wrapText="1"/>
      <protection hidden="1"/>
    </xf>
    <xf numFmtId="0" fontId="3" fillId="0" borderId="34" xfId="0" applyFont="1" applyBorder="1" applyAlignment="1" applyProtection="1">
      <alignment horizontal="left" vertical="center" wrapText="1"/>
      <protection hidden="1"/>
    </xf>
    <xf numFmtId="0" fontId="3" fillId="0" borderId="35" xfId="0" applyFont="1" applyBorder="1" applyAlignment="1" applyProtection="1">
      <alignment horizontal="lef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0" fontId="4" fillId="0" borderId="0" xfId="0" applyFont="1" applyAlignment="1" applyProtection="1">
      <alignment horizontal="right" vertical="center"/>
      <protection hidden="1"/>
    </xf>
    <xf numFmtId="0" fontId="139" fillId="37" borderId="14" xfId="0" applyFont="1" applyFill="1" applyBorder="1" applyAlignment="1" applyProtection="1">
      <alignment horizontal="left" vertical="top" wrapText="1"/>
      <protection locked="0"/>
    </xf>
    <xf numFmtId="0" fontId="139" fillId="37" borderId="0" xfId="0" applyFont="1" applyFill="1" applyAlignment="1" applyProtection="1">
      <alignment horizontal="left" vertical="top" wrapText="1"/>
      <protection locked="0"/>
    </xf>
    <xf numFmtId="0" fontId="139" fillId="37" borderId="15" xfId="0" applyFont="1" applyFill="1" applyBorder="1" applyAlignment="1" applyProtection="1">
      <alignment horizontal="left" vertical="top" wrapText="1"/>
      <protection locked="0"/>
    </xf>
    <xf numFmtId="0" fontId="139" fillId="37" borderId="16" xfId="0" applyFont="1" applyFill="1" applyBorder="1" applyAlignment="1" applyProtection="1">
      <alignment horizontal="left" vertical="top" wrapText="1"/>
      <protection locked="0"/>
    </xf>
    <xf numFmtId="0" fontId="139" fillId="37" borderId="17" xfId="0" applyFont="1" applyFill="1" applyBorder="1" applyAlignment="1" applyProtection="1">
      <alignment horizontal="left" vertical="top" wrapText="1"/>
      <protection locked="0"/>
    </xf>
    <xf numFmtId="0" fontId="139" fillId="37" borderId="18" xfId="0" applyFont="1" applyFill="1" applyBorder="1" applyAlignment="1" applyProtection="1">
      <alignment horizontal="left" vertical="top" wrapText="1"/>
      <protection locked="0"/>
    </xf>
    <xf numFmtId="0" fontId="150" fillId="36" borderId="11" xfId="0" applyFont="1" applyFill="1" applyBorder="1" applyAlignment="1" applyProtection="1">
      <alignment horizontal="center" vertical="center"/>
      <protection hidden="1"/>
    </xf>
    <xf numFmtId="0" fontId="150" fillId="36" borderId="12" xfId="0" applyFont="1" applyFill="1" applyBorder="1" applyAlignment="1" applyProtection="1">
      <alignment horizontal="center" vertical="center"/>
      <protection hidden="1"/>
    </xf>
    <xf numFmtId="0" fontId="150" fillId="36" borderId="13" xfId="0" applyFont="1" applyFill="1" applyBorder="1" applyAlignment="1" applyProtection="1">
      <alignment horizontal="center" vertical="center"/>
      <protection hidden="1"/>
    </xf>
    <xf numFmtId="0" fontId="148" fillId="37" borderId="21" xfId="0" applyFont="1" applyFill="1" applyBorder="1" applyAlignment="1" applyProtection="1">
      <alignment horizontal="left" vertical="center"/>
      <protection locked="0"/>
    </xf>
    <xf numFmtId="0" fontId="148" fillId="37" borderId="34" xfId="0" applyFont="1" applyFill="1" applyBorder="1" applyAlignment="1" applyProtection="1">
      <alignment horizontal="left" vertical="center"/>
      <protection locked="0"/>
    </xf>
    <xf numFmtId="0" fontId="148" fillId="37" borderId="35" xfId="0" applyFont="1" applyFill="1" applyBorder="1" applyAlignment="1" applyProtection="1">
      <alignment horizontal="left" vertical="center"/>
      <protection locked="0"/>
    </xf>
    <xf numFmtId="0" fontId="148" fillId="37" borderId="21" xfId="0" applyFont="1" applyFill="1" applyBorder="1" applyAlignment="1" applyProtection="1" quotePrefix="1">
      <alignment horizontal="left" vertical="center"/>
      <protection locked="0"/>
    </xf>
    <xf numFmtId="0" fontId="148" fillId="37" borderId="21" xfId="0" applyFont="1" applyFill="1" applyBorder="1" applyAlignment="1" applyProtection="1" quotePrefix="1">
      <alignment horizontal="left" vertical="center" wrapText="1"/>
      <protection locked="0"/>
    </xf>
    <xf numFmtId="0" fontId="148" fillId="37" borderId="34" xfId="0" applyFont="1" applyFill="1" applyBorder="1" applyAlignment="1" applyProtection="1">
      <alignment horizontal="left" vertical="center" wrapText="1"/>
      <protection locked="0"/>
    </xf>
    <xf numFmtId="0" fontId="148" fillId="37" borderId="35" xfId="0" applyFont="1" applyFill="1" applyBorder="1" applyAlignment="1" applyProtection="1">
      <alignment horizontal="left" vertical="center" wrapText="1"/>
      <protection locked="0"/>
    </xf>
    <xf numFmtId="0" fontId="148" fillId="37" borderId="21" xfId="0" applyFont="1" applyFill="1" applyBorder="1" applyAlignment="1" applyProtection="1">
      <alignment horizontal="left" vertical="center" wrapText="1"/>
      <protection locked="0"/>
    </xf>
    <xf numFmtId="0" fontId="151" fillId="37" borderId="21" xfId="0" applyFont="1" applyFill="1" applyBorder="1" applyAlignment="1" applyProtection="1">
      <alignment horizontal="left" vertical="center"/>
      <protection locked="0"/>
    </xf>
    <xf numFmtId="0" fontId="151" fillId="37" borderId="34" xfId="0" applyFont="1" applyFill="1" applyBorder="1" applyAlignment="1" applyProtection="1">
      <alignment horizontal="left" vertical="center"/>
      <protection locked="0"/>
    </xf>
    <xf numFmtId="0" fontId="151" fillId="37" borderId="35" xfId="0" applyFont="1" applyFill="1" applyBorder="1" applyAlignment="1" applyProtection="1">
      <alignment horizontal="left" vertical="center"/>
      <protection locked="0"/>
    </xf>
    <xf numFmtId="0" fontId="4" fillId="0" borderId="0" xfId="0" applyFont="1" applyAlignment="1" applyProtection="1" quotePrefix="1">
      <alignment horizontal="justify" vertical="top"/>
      <protection hidden="1"/>
    </xf>
    <xf numFmtId="0" fontId="148" fillId="37" borderId="21" xfId="0" applyFont="1" applyFill="1" applyBorder="1" applyAlignment="1" applyProtection="1" quotePrefix="1">
      <alignment horizontal="justify" vertical="top"/>
      <protection locked="0"/>
    </xf>
    <xf numFmtId="0" fontId="148" fillId="37" borderId="34" xfId="0" applyFont="1" applyFill="1" applyBorder="1" applyAlignment="1" applyProtection="1">
      <alignment horizontal="justify" vertical="top"/>
      <protection locked="0"/>
    </xf>
    <xf numFmtId="0" fontId="148" fillId="37" borderId="35" xfId="0" applyFont="1" applyFill="1" applyBorder="1" applyAlignment="1" applyProtection="1">
      <alignment horizontal="justify" vertical="top"/>
      <protection locked="0"/>
    </xf>
    <xf numFmtId="0" fontId="4" fillId="0" borderId="0" xfId="0" applyFont="1" applyAlignment="1" applyProtection="1" quotePrefix="1">
      <alignment horizontal="justify" vertical="top" wrapText="1"/>
      <protection hidden="1"/>
    </xf>
    <xf numFmtId="0" fontId="14" fillId="0" borderId="17" xfId="0" applyFont="1" applyBorder="1" applyAlignment="1" applyProtection="1">
      <alignment horizontal="left" vertical="center"/>
      <protection hidden="1"/>
    </xf>
    <xf numFmtId="0" fontId="0" fillId="0" borderId="0" xfId="0" applyAlignment="1" applyProtection="1">
      <alignment vertical="top"/>
      <protection hidden="1"/>
    </xf>
    <xf numFmtId="0" fontId="148" fillId="37" borderId="21" xfId="0" applyFont="1" applyFill="1" applyBorder="1" applyAlignment="1" applyProtection="1">
      <alignment horizontal="justify" vertical="center"/>
      <protection hidden="1"/>
    </xf>
    <xf numFmtId="0" fontId="148" fillId="37" borderId="34" xfId="0" applyFont="1" applyFill="1" applyBorder="1" applyAlignment="1" applyProtection="1">
      <alignment horizontal="justify" vertical="center"/>
      <protection hidden="1"/>
    </xf>
    <xf numFmtId="0" fontId="148" fillId="37" borderId="35" xfId="0" applyFont="1" applyFill="1" applyBorder="1" applyAlignment="1" applyProtection="1">
      <alignment horizontal="justify" vertical="center"/>
      <protection hidden="1"/>
    </xf>
    <xf numFmtId="0" fontId="21" fillId="0" borderId="0" xfId="0" applyFont="1" applyAlignment="1" applyProtection="1">
      <alignment horizontal="justify" vertical="center"/>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top" wrapText="1"/>
      <protection hidden="1"/>
    </xf>
    <xf numFmtId="0" fontId="148" fillId="37" borderId="21" xfId="0" applyFont="1" applyFill="1" applyBorder="1" applyAlignment="1" applyProtection="1">
      <alignment horizontal="justify" vertical="top" wrapText="1"/>
      <protection locked="0"/>
    </xf>
    <xf numFmtId="0" fontId="151" fillId="37" borderId="21" xfId="0" applyFont="1" applyFill="1" applyBorder="1" applyAlignment="1" applyProtection="1">
      <alignment horizontal="left" vertical="top" wrapText="1"/>
      <protection locked="0"/>
    </xf>
    <xf numFmtId="0" fontId="151" fillId="37" borderId="34" xfId="0" applyFont="1" applyFill="1" applyBorder="1" applyAlignment="1" applyProtection="1">
      <alignment horizontal="left" vertical="top"/>
      <protection locked="0"/>
    </xf>
    <xf numFmtId="0" fontId="148" fillId="37" borderId="21" xfId="0" applyFont="1" applyFill="1" applyBorder="1" applyAlignment="1" applyProtection="1" quotePrefix="1">
      <alignment horizontal="justify" vertical="center"/>
      <protection hidden="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2 2" xfId="45"/>
    <cellStyle name="Euro 3" xfId="46"/>
    <cellStyle name="Euro 3 2" xfId="47"/>
    <cellStyle name="Euro 3 2 2" xfId="48"/>
    <cellStyle name="Euro 3 3" xfId="49"/>
    <cellStyle name="Euro_Simulation_rentabilite_v5" xfId="50"/>
    <cellStyle name="Insatisfaisant" xfId="51"/>
    <cellStyle name="Hyperlink" xfId="52"/>
    <cellStyle name="Lien hypertexte 2" xfId="53"/>
    <cellStyle name="Followed Hyperlink" xfId="54"/>
    <cellStyle name="Comma" xfId="55"/>
    <cellStyle name="Comma [0]" xfId="56"/>
    <cellStyle name="Currency" xfId="57"/>
    <cellStyle name="Currency [0]" xfId="58"/>
    <cellStyle name="Monétaire 2" xfId="59"/>
    <cellStyle name="Monétaire 2 2" xfId="60"/>
    <cellStyle name="Monétaire 2 2 2" xfId="61"/>
    <cellStyle name="Monétaire 2 3" xfId="62"/>
    <cellStyle name="Neutre" xfId="63"/>
    <cellStyle name="Normal 2" xfId="64"/>
    <cellStyle name="Normal 2 2" xfId="65"/>
    <cellStyle name="Normal 3" xfId="66"/>
    <cellStyle name="Note" xfId="67"/>
    <cellStyle name="Percent"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dxfs count="7">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b val="0"/>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5</xdr:row>
      <xdr:rowOff>266700</xdr:rowOff>
    </xdr:from>
    <xdr:to>
      <xdr:col>0</xdr:col>
      <xdr:colOff>2819400</xdr:colOff>
      <xdr:row>7</xdr:row>
      <xdr:rowOff>104775</xdr:rowOff>
    </xdr:to>
    <xdr:sp macro="[0]!goHome">
      <xdr:nvSpPr>
        <xdr:cNvPr id="1" name="Rectangle à coins arrondis 1"/>
        <xdr:cNvSpPr>
          <a:spLocks/>
        </xdr:cNvSpPr>
      </xdr:nvSpPr>
      <xdr:spPr>
        <a:xfrm>
          <a:off x="1219200" y="2171700"/>
          <a:ext cx="1609725" cy="295275"/>
        </a:xfrm>
        <a:prstGeom prst="roundRect">
          <a:avLst/>
        </a:prstGeom>
        <a:solidFill>
          <a:srgbClr val="93CDDD"/>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181</xdr:row>
      <xdr:rowOff>85725</xdr:rowOff>
    </xdr:from>
    <xdr:to>
      <xdr:col>2</xdr:col>
      <xdr:colOff>28575</xdr:colOff>
      <xdr:row>187</xdr:row>
      <xdr:rowOff>66675</xdr:rowOff>
    </xdr:to>
    <xdr:pic>
      <xdr:nvPicPr>
        <xdr:cNvPr id="1" name="Image 8"/>
        <xdr:cNvPicPr preferRelativeResize="1">
          <a:picLocks noChangeAspect="1"/>
        </xdr:cNvPicPr>
      </xdr:nvPicPr>
      <xdr:blipFill>
        <a:blip r:embed="rId1"/>
        <a:stretch>
          <a:fillRect/>
        </a:stretch>
      </xdr:blipFill>
      <xdr:spPr>
        <a:xfrm>
          <a:off x="419100" y="30775275"/>
          <a:ext cx="2066925" cy="962025"/>
        </a:xfrm>
        <a:prstGeom prst="rect">
          <a:avLst/>
        </a:prstGeom>
        <a:solidFill>
          <a:srgbClr val="4F81BD">
            <a:alpha val="0"/>
          </a:srgbClr>
        </a:solidFill>
        <a:ln w="9525" cmpd="sng">
          <a:noFill/>
        </a:ln>
      </xdr:spPr>
    </xdr:pic>
    <xdr:clientData/>
  </xdr:twoCellAnchor>
  <xdr:twoCellAnchor editAs="oneCell">
    <xdr:from>
      <xdr:col>0</xdr:col>
      <xdr:colOff>781050</xdr:colOff>
      <xdr:row>11</xdr:row>
      <xdr:rowOff>38100</xdr:rowOff>
    </xdr:from>
    <xdr:to>
      <xdr:col>1</xdr:col>
      <xdr:colOff>314325</xdr:colOff>
      <xdr:row>21</xdr:row>
      <xdr:rowOff>114300</xdr:rowOff>
    </xdr:to>
    <xdr:pic>
      <xdr:nvPicPr>
        <xdr:cNvPr id="2" name="Image 3"/>
        <xdr:cNvPicPr preferRelativeResize="1">
          <a:picLocks noChangeAspect="1"/>
        </xdr:cNvPicPr>
      </xdr:nvPicPr>
      <xdr:blipFill>
        <a:blip r:embed="rId1"/>
        <a:stretch>
          <a:fillRect/>
        </a:stretch>
      </xdr:blipFill>
      <xdr:spPr>
        <a:xfrm>
          <a:off x="781050" y="3200400"/>
          <a:ext cx="1228725" cy="1695450"/>
        </a:xfrm>
        <a:prstGeom prst="rect">
          <a:avLst/>
        </a:prstGeom>
        <a:solidFill>
          <a:srgbClr val="4F81BD">
            <a:alpha val="0"/>
          </a:srgbClr>
        </a:solidFill>
        <a:ln w="9525" cmpd="sng">
          <a:noFill/>
        </a:ln>
      </xdr:spPr>
    </xdr:pic>
    <xdr:clientData/>
  </xdr:twoCellAnchor>
  <xdr:twoCellAnchor editAs="oneCell">
    <xdr:from>
      <xdr:col>2</xdr:col>
      <xdr:colOff>219075</xdr:colOff>
      <xdr:row>64</xdr:row>
      <xdr:rowOff>114300</xdr:rowOff>
    </xdr:from>
    <xdr:to>
      <xdr:col>4</xdr:col>
      <xdr:colOff>742950</xdr:colOff>
      <xdr:row>73</xdr:row>
      <xdr:rowOff>114300</xdr:rowOff>
    </xdr:to>
    <xdr:pic>
      <xdr:nvPicPr>
        <xdr:cNvPr id="3" name="Image 4"/>
        <xdr:cNvPicPr preferRelativeResize="1">
          <a:picLocks noChangeAspect="1"/>
        </xdr:cNvPicPr>
      </xdr:nvPicPr>
      <xdr:blipFill>
        <a:blip r:embed="rId1"/>
        <a:stretch>
          <a:fillRect/>
        </a:stretch>
      </xdr:blipFill>
      <xdr:spPr>
        <a:xfrm>
          <a:off x="2676525" y="11858625"/>
          <a:ext cx="2047875" cy="1457325"/>
        </a:xfrm>
        <a:prstGeom prst="rect">
          <a:avLst/>
        </a:prstGeom>
        <a:solidFill>
          <a:srgbClr val="4F81BD">
            <a:alpha val="0"/>
          </a:srgbClr>
        </a:solidFill>
        <a:ln w="9525" cmpd="sng">
          <a:noFill/>
        </a:ln>
      </xdr:spPr>
    </xdr:pic>
    <xdr:clientData/>
  </xdr:twoCellAnchor>
  <xdr:twoCellAnchor editAs="oneCell">
    <xdr:from>
      <xdr:col>2</xdr:col>
      <xdr:colOff>581025</xdr:colOff>
      <xdr:row>91</xdr:row>
      <xdr:rowOff>142875</xdr:rowOff>
    </xdr:from>
    <xdr:to>
      <xdr:col>5</xdr:col>
      <xdr:colOff>352425</xdr:colOff>
      <xdr:row>100</xdr:row>
      <xdr:rowOff>152400</xdr:rowOff>
    </xdr:to>
    <xdr:pic>
      <xdr:nvPicPr>
        <xdr:cNvPr id="4" name="Image 5"/>
        <xdr:cNvPicPr preferRelativeResize="1">
          <a:picLocks noChangeAspect="1"/>
        </xdr:cNvPicPr>
      </xdr:nvPicPr>
      <xdr:blipFill>
        <a:blip r:embed="rId1"/>
        <a:stretch>
          <a:fillRect/>
        </a:stretch>
      </xdr:blipFill>
      <xdr:spPr>
        <a:xfrm>
          <a:off x="3038475" y="16259175"/>
          <a:ext cx="2057400" cy="1466850"/>
        </a:xfrm>
        <a:prstGeom prst="rect">
          <a:avLst/>
        </a:prstGeom>
        <a:solidFill>
          <a:srgbClr val="4F81BD">
            <a:alpha val="0"/>
          </a:srgbClr>
        </a:solidFill>
        <a:ln w="9525" cmpd="sng">
          <a:noFill/>
        </a:ln>
      </xdr:spPr>
    </xdr:pic>
    <xdr:clientData/>
  </xdr:twoCellAnchor>
  <xdr:twoCellAnchor editAs="oneCell">
    <xdr:from>
      <xdr:col>0</xdr:col>
      <xdr:colOff>323850</xdr:colOff>
      <xdr:row>0</xdr:row>
      <xdr:rowOff>57150</xdr:rowOff>
    </xdr:from>
    <xdr:to>
      <xdr:col>1</xdr:col>
      <xdr:colOff>685800</xdr:colOff>
      <xdr:row>4</xdr:row>
      <xdr:rowOff>314325</xdr:rowOff>
    </xdr:to>
    <xdr:pic>
      <xdr:nvPicPr>
        <xdr:cNvPr id="5" name="Image 6"/>
        <xdr:cNvPicPr preferRelativeResize="1">
          <a:picLocks noChangeAspect="1"/>
        </xdr:cNvPicPr>
      </xdr:nvPicPr>
      <xdr:blipFill>
        <a:blip r:embed="rId1"/>
        <a:stretch>
          <a:fillRect/>
        </a:stretch>
      </xdr:blipFill>
      <xdr:spPr>
        <a:xfrm>
          <a:off x="323850" y="57150"/>
          <a:ext cx="2057400" cy="942975"/>
        </a:xfrm>
        <a:prstGeom prst="rect">
          <a:avLst/>
        </a:prstGeom>
        <a:solidFill>
          <a:srgbClr val="4F81BD"/>
        </a:solidFill>
        <a:ln w="9525" cmpd="sng">
          <a:noFill/>
        </a:ln>
      </xdr:spPr>
    </xdr:pic>
    <xdr:clientData/>
  </xdr:twoCellAnchor>
  <xdr:twoCellAnchor editAs="oneCell">
    <xdr:from>
      <xdr:col>2</xdr:col>
      <xdr:colOff>400050</xdr:colOff>
      <xdr:row>5</xdr:row>
      <xdr:rowOff>142875</xdr:rowOff>
    </xdr:from>
    <xdr:to>
      <xdr:col>5</xdr:col>
      <xdr:colOff>180975</xdr:colOff>
      <xdr:row>7</xdr:row>
      <xdr:rowOff>209550</xdr:rowOff>
    </xdr:to>
    <xdr:pic>
      <xdr:nvPicPr>
        <xdr:cNvPr id="6" name="Image 7"/>
        <xdr:cNvPicPr preferRelativeResize="1">
          <a:picLocks noChangeAspect="1"/>
        </xdr:cNvPicPr>
      </xdr:nvPicPr>
      <xdr:blipFill>
        <a:blip r:embed="rId1"/>
        <a:stretch>
          <a:fillRect/>
        </a:stretch>
      </xdr:blipFill>
      <xdr:spPr>
        <a:xfrm>
          <a:off x="2857500" y="1428750"/>
          <a:ext cx="2066925" cy="828675"/>
        </a:xfrm>
        <a:prstGeom prst="rect">
          <a:avLst/>
        </a:prstGeom>
        <a:solidFill>
          <a:srgbClr val="4F81BD">
            <a:alpha val="0"/>
          </a:srgbClr>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161</xdr:row>
      <xdr:rowOff>38100</xdr:rowOff>
    </xdr:from>
    <xdr:to>
      <xdr:col>3</xdr:col>
      <xdr:colOff>1009650</xdr:colOff>
      <xdr:row>167</xdr:row>
      <xdr:rowOff>19050</xdr:rowOff>
    </xdr:to>
    <xdr:pic>
      <xdr:nvPicPr>
        <xdr:cNvPr id="1" name="Image 8" hidden="1"/>
        <xdr:cNvPicPr preferRelativeResize="1">
          <a:picLocks noChangeAspect="1"/>
        </xdr:cNvPicPr>
      </xdr:nvPicPr>
      <xdr:blipFill>
        <a:blip r:embed="rId1"/>
        <a:stretch>
          <a:fillRect/>
        </a:stretch>
      </xdr:blipFill>
      <xdr:spPr>
        <a:xfrm>
          <a:off x="2457450" y="33366075"/>
          <a:ext cx="2076450" cy="952500"/>
        </a:xfrm>
        <a:prstGeom prst="rect">
          <a:avLst/>
        </a:prstGeom>
        <a:solidFill>
          <a:srgbClr val="4F81BD">
            <a:alpha val="0"/>
          </a:srgbClr>
        </a:solidFill>
        <a:ln w="9525" cmpd="sng">
          <a:noFill/>
        </a:ln>
      </xdr:spPr>
    </xdr:pic>
    <xdr:clientData/>
  </xdr:twoCellAnchor>
  <xdr:twoCellAnchor>
    <xdr:from>
      <xdr:col>7</xdr:col>
      <xdr:colOff>0</xdr:colOff>
      <xdr:row>0</xdr:row>
      <xdr:rowOff>57150</xdr:rowOff>
    </xdr:from>
    <xdr:to>
      <xdr:col>9</xdr:col>
      <xdr:colOff>104775</xdr:colOff>
      <xdr:row>0</xdr:row>
      <xdr:rowOff>457200</xdr:rowOff>
    </xdr:to>
    <xdr:sp macro="[0]!goHome">
      <xdr:nvSpPr>
        <xdr:cNvPr id="2" name="Rectangle à coins arrondis 2"/>
        <xdr:cNvSpPr>
          <a:spLocks/>
        </xdr:cNvSpPr>
      </xdr:nvSpPr>
      <xdr:spPr>
        <a:xfrm>
          <a:off x="7696200" y="57150"/>
          <a:ext cx="2771775" cy="400050"/>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editAs="oneCell">
    <xdr:from>
      <xdr:col>3</xdr:col>
      <xdr:colOff>276225</xdr:colOff>
      <xdr:row>28</xdr:row>
      <xdr:rowOff>104775</xdr:rowOff>
    </xdr:from>
    <xdr:to>
      <xdr:col>5</xdr:col>
      <xdr:colOff>85725</xdr:colOff>
      <xdr:row>43</xdr:row>
      <xdr:rowOff>133350</xdr:rowOff>
    </xdr:to>
    <xdr:pic>
      <xdr:nvPicPr>
        <xdr:cNvPr id="3" name="Image 3" hidden="1"/>
        <xdr:cNvPicPr preferRelativeResize="1">
          <a:picLocks noChangeAspect="1"/>
        </xdr:cNvPicPr>
      </xdr:nvPicPr>
      <xdr:blipFill>
        <a:blip r:embed="rId1"/>
        <a:stretch>
          <a:fillRect/>
        </a:stretch>
      </xdr:blipFill>
      <xdr:spPr>
        <a:xfrm>
          <a:off x="3800475" y="6677025"/>
          <a:ext cx="2066925" cy="2857500"/>
        </a:xfrm>
        <a:prstGeom prst="rect">
          <a:avLst/>
        </a:prstGeom>
        <a:solidFill>
          <a:srgbClr val="4F81BD">
            <a:alpha val="0"/>
          </a:srgbClr>
        </a:solidFill>
        <a:ln w="9525" cmpd="sng">
          <a:noFill/>
        </a:ln>
      </xdr:spPr>
    </xdr:pic>
    <xdr:clientData/>
  </xdr:twoCellAnchor>
  <xdr:twoCellAnchor editAs="oneCell">
    <xdr:from>
      <xdr:col>3</xdr:col>
      <xdr:colOff>1200150</xdr:colOff>
      <xdr:row>65</xdr:row>
      <xdr:rowOff>0</xdr:rowOff>
    </xdr:from>
    <xdr:to>
      <xdr:col>5</xdr:col>
      <xdr:colOff>1019175</xdr:colOff>
      <xdr:row>72</xdr:row>
      <xdr:rowOff>219075</xdr:rowOff>
    </xdr:to>
    <xdr:pic>
      <xdr:nvPicPr>
        <xdr:cNvPr id="4" name="Image 4" hidden="1"/>
        <xdr:cNvPicPr preferRelativeResize="1">
          <a:picLocks noChangeAspect="1"/>
        </xdr:cNvPicPr>
      </xdr:nvPicPr>
      <xdr:blipFill>
        <a:blip r:embed="rId1"/>
        <a:stretch>
          <a:fillRect/>
        </a:stretch>
      </xdr:blipFill>
      <xdr:spPr>
        <a:xfrm>
          <a:off x="4724400" y="14239875"/>
          <a:ext cx="2076450" cy="1457325"/>
        </a:xfrm>
        <a:prstGeom prst="rect">
          <a:avLst/>
        </a:prstGeom>
        <a:solidFill>
          <a:srgbClr val="4F81BD">
            <a:alpha val="0"/>
          </a:srgbClr>
        </a:solidFill>
        <a:ln w="9525" cmpd="sng">
          <a:noFill/>
        </a:ln>
      </xdr:spPr>
    </xdr:pic>
    <xdr:clientData/>
  </xdr:twoCellAnchor>
  <xdr:twoCellAnchor editAs="oneCell">
    <xdr:from>
      <xdr:col>4</xdr:col>
      <xdr:colOff>285750</xdr:colOff>
      <xdr:row>89</xdr:row>
      <xdr:rowOff>76200</xdr:rowOff>
    </xdr:from>
    <xdr:to>
      <xdr:col>5</xdr:col>
      <xdr:colOff>1390650</xdr:colOff>
      <xdr:row>98</xdr:row>
      <xdr:rowOff>9525</xdr:rowOff>
    </xdr:to>
    <xdr:pic>
      <xdr:nvPicPr>
        <xdr:cNvPr id="5" name="Image 5" hidden="1"/>
        <xdr:cNvPicPr preferRelativeResize="1">
          <a:picLocks noChangeAspect="1"/>
        </xdr:cNvPicPr>
      </xdr:nvPicPr>
      <xdr:blipFill>
        <a:blip r:embed="rId1"/>
        <a:stretch>
          <a:fillRect/>
        </a:stretch>
      </xdr:blipFill>
      <xdr:spPr>
        <a:xfrm>
          <a:off x="5086350" y="18678525"/>
          <a:ext cx="2085975" cy="1457325"/>
        </a:xfrm>
        <a:prstGeom prst="rect">
          <a:avLst/>
        </a:prstGeom>
        <a:solidFill>
          <a:srgbClr val="4F81BD">
            <a:alpha val="0"/>
          </a:srgbClr>
        </a:solidFill>
        <a:ln w="9525" cmpd="sng">
          <a:noFill/>
        </a:ln>
      </xdr:spPr>
    </xdr:pic>
    <xdr:clientData/>
  </xdr:twoCellAnchor>
  <xdr:twoCellAnchor editAs="oneCell">
    <xdr:from>
      <xdr:col>2</xdr:col>
      <xdr:colOff>28575</xdr:colOff>
      <xdr:row>8</xdr:row>
      <xdr:rowOff>85725</xdr:rowOff>
    </xdr:from>
    <xdr:to>
      <xdr:col>3</xdr:col>
      <xdr:colOff>904875</xdr:colOff>
      <xdr:row>13</xdr:row>
      <xdr:rowOff>95250</xdr:rowOff>
    </xdr:to>
    <xdr:pic>
      <xdr:nvPicPr>
        <xdr:cNvPr id="6" name="Image 6" hidden="1"/>
        <xdr:cNvPicPr preferRelativeResize="1">
          <a:picLocks noChangeAspect="1"/>
        </xdr:cNvPicPr>
      </xdr:nvPicPr>
      <xdr:blipFill>
        <a:blip r:embed="rId1"/>
        <a:stretch>
          <a:fillRect/>
        </a:stretch>
      </xdr:blipFill>
      <xdr:spPr>
        <a:xfrm>
          <a:off x="2362200" y="2371725"/>
          <a:ext cx="2066925" cy="933450"/>
        </a:xfrm>
        <a:prstGeom prst="rect">
          <a:avLst/>
        </a:prstGeom>
        <a:solidFill>
          <a:srgbClr val="4F81BD"/>
        </a:solidFill>
        <a:ln w="9525" cmpd="sng">
          <a:noFill/>
        </a:ln>
      </xdr:spPr>
    </xdr:pic>
    <xdr:clientData/>
  </xdr:twoCellAnchor>
  <xdr:twoCellAnchor editAs="oneCell">
    <xdr:from>
      <xdr:col>1</xdr:col>
      <xdr:colOff>1190625</xdr:colOff>
      <xdr:row>17</xdr:row>
      <xdr:rowOff>76200</xdr:rowOff>
    </xdr:from>
    <xdr:to>
      <xdr:col>3</xdr:col>
      <xdr:colOff>723900</xdr:colOff>
      <xdr:row>20</xdr:row>
      <xdr:rowOff>142875</xdr:rowOff>
    </xdr:to>
    <xdr:pic>
      <xdr:nvPicPr>
        <xdr:cNvPr id="7" name="Image 7" hidden="1"/>
        <xdr:cNvPicPr preferRelativeResize="1">
          <a:picLocks noChangeAspect="1"/>
        </xdr:cNvPicPr>
      </xdr:nvPicPr>
      <xdr:blipFill>
        <a:blip r:embed="rId1"/>
        <a:stretch>
          <a:fillRect/>
        </a:stretch>
      </xdr:blipFill>
      <xdr:spPr>
        <a:xfrm>
          <a:off x="2171700" y="4076700"/>
          <a:ext cx="2076450" cy="800100"/>
        </a:xfrm>
        <a:prstGeom prst="rect">
          <a:avLst/>
        </a:prstGeom>
        <a:solidFill>
          <a:srgbClr val="4F81BD">
            <a:alpha val="0"/>
          </a:srgbClr>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xdr:row>
      <xdr:rowOff>180975</xdr:rowOff>
    </xdr:from>
    <xdr:to>
      <xdr:col>5</xdr:col>
      <xdr:colOff>390525</xdr:colOff>
      <xdr:row>4</xdr:row>
      <xdr:rowOff>0</xdr:rowOff>
    </xdr:to>
    <xdr:sp macro="[0]!goHome">
      <xdr:nvSpPr>
        <xdr:cNvPr id="1" name="Rectangle à coins arrondis 1"/>
        <xdr:cNvSpPr>
          <a:spLocks/>
        </xdr:cNvSpPr>
      </xdr:nvSpPr>
      <xdr:spPr>
        <a:xfrm>
          <a:off x="7553325" y="466725"/>
          <a:ext cx="2409825" cy="390525"/>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editAs="oneCell">
    <xdr:from>
      <xdr:col>0</xdr:col>
      <xdr:colOff>285750</xdr:colOff>
      <xdr:row>184</xdr:row>
      <xdr:rowOff>95250</xdr:rowOff>
    </xdr:from>
    <xdr:to>
      <xdr:col>0</xdr:col>
      <xdr:colOff>2362200</xdr:colOff>
      <xdr:row>190</xdr:row>
      <xdr:rowOff>85725</xdr:rowOff>
    </xdr:to>
    <xdr:pic>
      <xdr:nvPicPr>
        <xdr:cNvPr id="2" name="Image 8"/>
        <xdr:cNvPicPr preferRelativeResize="1">
          <a:picLocks noChangeAspect="1"/>
        </xdr:cNvPicPr>
      </xdr:nvPicPr>
      <xdr:blipFill>
        <a:blip r:embed="rId1"/>
        <a:stretch>
          <a:fillRect/>
        </a:stretch>
      </xdr:blipFill>
      <xdr:spPr>
        <a:xfrm>
          <a:off x="285750" y="31918275"/>
          <a:ext cx="2076450" cy="962025"/>
        </a:xfrm>
        <a:prstGeom prst="rect">
          <a:avLst/>
        </a:prstGeom>
        <a:solidFill>
          <a:srgbClr val="4F81BD">
            <a:alpha val="0"/>
          </a:srgbClr>
        </a:solidFill>
        <a:ln w="9525" cmpd="sng">
          <a:noFill/>
        </a:ln>
      </xdr:spPr>
    </xdr:pic>
    <xdr:clientData/>
  </xdr:twoCellAnchor>
  <xdr:twoCellAnchor editAs="oneCell">
    <xdr:from>
      <xdr:col>0</xdr:col>
      <xdr:colOff>1628775</xdr:colOff>
      <xdr:row>25</xdr:row>
      <xdr:rowOff>47625</xdr:rowOff>
    </xdr:from>
    <xdr:to>
      <xdr:col>0</xdr:col>
      <xdr:colOff>3695700</xdr:colOff>
      <xdr:row>39</xdr:row>
      <xdr:rowOff>0</xdr:rowOff>
    </xdr:to>
    <xdr:pic>
      <xdr:nvPicPr>
        <xdr:cNvPr id="3" name="Image 3"/>
        <xdr:cNvPicPr preferRelativeResize="1">
          <a:picLocks noChangeAspect="1"/>
        </xdr:cNvPicPr>
      </xdr:nvPicPr>
      <xdr:blipFill>
        <a:blip r:embed="rId1"/>
        <a:stretch>
          <a:fillRect/>
        </a:stretch>
      </xdr:blipFill>
      <xdr:spPr>
        <a:xfrm>
          <a:off x="1628775" y="5514975"/>
          <a:ext cx="2066925" cy="2828925"/>
        </a:xfrm>
        <a:prstGeom prst="rect">
          <a:avLst/>
        </a:prstGeom>
        <a:solidFill>
          <a:srgbClr val="4F81BD">
            <a:alpha val="0"/>
          </a:srgbClr>
        </a:solidFill>
        <a:ln w="9525" cmpd="sng">
          <a:noFill/>
        </a:ln>
      </xdr:spPr>
    </xdr:pic>
    <xdr:clientData/>
  </xdr:twoCellAnchor>
  <xdr:twoCellAnchor editAs="oneCell">
    <xdr:from>
      <xdr:col>0</xdr:col>
      <xdr:colOff>2552700</xdr:colOff>
      <xdr:row>67</xdr:row>
      <xdr:rowOff>123825</xdr:rowOff>
    </xdr:from>
    <xdr:to>
      <xdr:col>0</xdr:col>
      <xdr:colOff>4629150</xdr:colOff>
      <xdr:row>76</xdr:row>
      <xdr:rowOff>123825</xdr:rowOff>
    </xdr:to>
    <xdr:pic>
      <xdr:nvPicPr>
        <xdr:cNvPr id="4" name="Image 4"/>
        <xdr:cNvPicPr preferRelativeResize="1">
          <a:picLocks noChangeAspect="1"/>
        </xdr:cNvPicPr>
      </xdr:nvPicPr>
      <xdr:blipFill>
        <a:blip r:embed="rId1"/>
        <a:stretch>
          <a:fillRect/>
        </a:stretch>
      </xdr:blipFill>
      <xdr:spPr>
        <a:xfrm>
          <a:off x="2552700" y="13001625"/>
          <a:ext cx="2076450" cy="1457325"/>
        </a:xfrm>
        <a:prstGeom prst="rect">
          <a:avLst/>
        </a:prstGeom>
        <a:solidFill>
          <a:srgbClr val="4F81BD">
            <a:alpha val="0"/>
          </a:srgbClr>
        </a:solidFill>
        <a:ln w="9525" cmpd="sng">
          <a:noFill/>
        </a:ln>
      </xdr:spPr>
    </xdr:pic>
    <xdr:clientData/>
  </xdr:twoCellAnchor>
  <xdr:twoCellAnchor editAs="oneCell">
    <xdr:from>
      <xdr:col>0</xdr:col>
      <xdr:colOff>2914650</xdr:colOff>
      <xdr:row>95</xdr:row>
      <xdr:rowOff>0</xdr:rowOff>
    </xdr:from>
    <xdr:to>
      <xdr:col>0</xdr:col>
      <xdr:colOff>5000625</xdr:colOff>
      <xdr:row>104</xdr:row>
      <xdr:rowOff>9525</xdr:rowOff>
    </xdr:to>
    <xdr:pic>
      <xdr:nvPicPr>
        <xdr:cNvPr id="5" name="Image 5"/>
        <xdr:cNvPicPr preferRelativeResize="1">
          <a:picLocks noChangeAspect="1"/>
        </xdr:cNvPicPr>
      </xdr:nvPicPr>
      <xdr:blipFill>
        <a:blip r:embed="rId1"/>
        <a:stretch>
          <a:fillRect/>
        </a:stretch>
      </xdr:blipFill>
      <xdr:spPr>
        <a:xfrm>
          <a:off x="2914650" y="17411700"/>
          <a:ext cx="2085975" cy="1466850"/>
        </a:xfrm>
        <a:prstGeom prst="rect">
          <a:avLst/>
        </a:prstGeom>
        <a:solidFill>
          <a:srgbClr val="4F81BD">
            <a:alpha val="0"/>
          </a:srgbClr>
        </a:solidFill>
        <a:ln w="9525" cmpd="sng">
          <a:noFill/>
        </a:ln>
      </xdr:spPr>
    </xdr:pic>
    <xdr:clientData/>
  </xdr:twoCellAnchor>
  <xdr:twoCellAnchor editAs="oneCell">
    <xdr:from>
      <xdr:col>0</xdr:col>
      <xdr:colOff>200025</xdr:colOff>
      <xdr:row>5</xdr:row>
      <xdr:rowOff>0</xdr:rowOff>
    </xdr:from>
    <xdr:to>
      <xdr:col>0</xdr:col>
      <xdr:colOff>2257425</xdr:colOff>
      <xdr:row>8</xdr:row>
      <xdr:rowOff>66675</xdr:rowOff>
    </xdr:to>
    <xdr:pic>
      <xdr:nvPicPr>
        <xdr:cNvPr id="6" name="Image 6"/>
        <xdr:cNvPicPr preferRelativeResize="1">
          <a:picLocks noChangeAspect="1"/>
        </xdr:cNvPicPr>
      </xdr:nvPicPr>
      <xdr:blipFill>
        <a:blip r:embed="rId1"/>
        <a:stretch>
          <a:fillRect/>
        </a:stretch>
      </xdr:blipFill>
      <xdr:spPr>
        <a:xfrm>
          <a:off x="200025" y="1047750"/>
          <a:ext cx="2066925" cy="942975"/>
        </a:xfrm>
        <a:prstGeom prst="rect">
          <a:avLst/>
        </a:prstGeom>
        <a:solidFill>
          <a:srgbClr val="4F81BD"/>
        </a:solidFill>
        <a:ln w="9525" cmpd="sng">
          <a:noFill/>
        </a:ln>
      </xdr:spPr>
    </xdr:pic>
    <xdr:clientData/>
  </xdr:twoCellAnchor>
  <xdr:twoCellAnchor editAs="oneCell">
    <xdr:from>
      <xdr:col>0</xdr:col>
      <xdr:colOff>0</xdr:colOff>
      <xdr:row>12</xdr:row>
      <xdr:rowOff>85725</xdr:rowOff>
    </xdr:from>
    <xdr:to>
      <xdr:col>0</xdr:col>
      <xdr:colOff>2085975</xdr:colOff>
      <xdr:row>16</xdr:row>
      <xdr:rowOff>171450</xdr:rowOff>
    </xdr:to>
    <xdr:pic>
      <xdr:nvPicPr>
        <xdr:cNvPr id="7" name="Image 7"/>
        <xdr:cNvPicPr preferRelativeResize="1">
          <a:picLocks noChangeAspect="1"/>
        </xdr:cNvPicPr>
      </xdr:nvPicPr>
      <xdr:blipFill>
        <a:blip r:embed="rId1"/>
        <a:stretch>
          <a:fillRect/>
        </a:stretch>
      </xdr:blipFill>
      <xdr:spPr>
        <a:xfrm>
          <a:off x="0" y="2771775"/>
          <a:ext cx="2085975" cy="962025"/>
        </a:xfrm>
        <a:prstGeom prst="rect">
          <a:avLst/>
        </a:prstGeom>
        <a:solidFill>
          <a:srgbClr val="4F81BD">
            <a:alpha val="0"/>
          </a:srgbClr>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10</xdr:row>
      <xdr:rowOff>123825</xdr:rowOff>
    </xdr:from>
    <xdr:to>
      <xdr:col>6</xdr:col>
      <xdr:colOff>628650</xdr:colOff>
      <xdr:row>11</xdr:row>
      <xdr:rowOff>171450</xdr:rowOff>
    </xdr:to>
    <xdr:sp macro="[0]!envoiMail">
      <xdr:nvSpPr>
        <xdr:cNvPr id="1" name="Rectangle : coins arrondis 1"/>
        <xdr:cNvSpPr>
          <a:spLocks/>
        </xdr:cNvSpPr>
      </xdr:nvSpPr>
      <xdr:spPr>
        <a:xfrm>
          <a:off x="6019800" y="1990725"/>
          <a:ext cx="1552575" cy="2381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Envoyer le mail !</a:t>
          </a:r>
        </a:p>
      </xdr:txBody>
    </xdr:sp>
    <xdr:clientData/>
  </xdr:twoCellAnchor>
  <xdr:twoCellAnchor>
    <xdr:from>
      <xdr:col>0</xdr:col>
      <xdr:colOff>57150</xdr:colOff>
      <xdr:row>11</xdr:row>
      <xdr:rowOff>104775</xdr:rowOff>
    </xdr:from>
    <xdr:to>
      <xdr:col>0</xdr:col>
      <xdr:colOff>1647825</xdr:colOff>
      <xdr:row>13</xdr:row>
      <xdr:rowOff>19050</xdr:rowOff>
    </xdr:to>
    <xdr:sp macro="[0]!goHome">
      <xdr:nvSpPr>
        <xdr:cNvPr id="2" name="Rectangle à coins arrondis 1"/>
        <xdr:cNvSpPr>
          <a:spLocks/>
        </xdr:cNvSpPr>
      </xdr:nvSpPr>
      <xdr:spPr>
        <a:xfrm>
          <a:off x="57150" y="2162175"/>
          <a:ext cx="1581150" cy="381000"/>
        </a:xfrm>
        <a:prstGeom prst="roundRect">
          <a:avLst/>
        </a:prstGeom>
        <a:solidFill>
          <a:srgbClr val="93CDDD"/>
        </a:solidFill>
        <a:ln w="25400" cmpd="sng">
          <a:solidFill>
            <a:srgbClr val="0D0D0D"/>
          </a:solidFill>
          <a:headEnd type="none"/>
          <a:tailEnd type="none"/>
        </a:ln>
      </xdr:spPr>
      <xdr:txBody>
        <a:bodyPr vertOverflow="clip" wrap="square" anchor="ctr"/>
        <a:p>
          <a:pPr algn="ctr">
            <a:defRPr/>
          </a:pPr>
          <a:r>
            <a:rPr lang="en-US" cap="none" sz="1200" b="1" i="0" u="none" baseline="0">
              <a:solidFill>
                <a:srgbClr val="FFFFFF"/>
              </a:solidFill>
            </a:rPr>
            <a:t>Retour Accueil</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20</xdr:row>
      <xdr:rowOff>28575</xdr:rowOff>
    </xdr:from>
    <xdr:to>
      <xdr:col>2</xdr:col>
      <xdr:colOff>1304925</xdr:colOff>
      <xdr:row>20</xdr:row>
      <xdr:rowOff>209550</xdr:rowOff>
    </xdr:to>
    <xdr:sp macro="[0]!Saisie_Rectangle2_Cliquer">
      <xdr:nvSpPr>
        <xdr:cNvPr id="1" name="Rectangle 2"/>
        <xdr:cNvSpPr>
          <a:spLocks/>
        </xdr:cNvSpPr>
      </xdr:nvSpPr>
      <xdr:spPr>
        <a:xfrm>
          <a:off x="0" y="6257925"/>
          <a:ext cx="0" cy="180975"/>
        </a:xfrm>
        <a:prstGeom prst="rect">
          <a:avLst/>
        </a:prstGeom>
        <a:solidFill>
          <a:srgbClr val="B3A2C7"/>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1304925</xdr:colOff>
      <xdr:row>20</xdr:row>
      <xdr:rowOff>19050</xdr:rowOff>
    </xdr:from>
    <xdr:to>
      <xdr:col>2</xdr:col>
      <xdr:colOff>1476375</xdr:colOff>
      <xdr:row>20</xdr:row>
      <xdr:rowOff>200025</xdr:rowOff>
    </xdr:to>
    <xdr:sp macro="[0]!Rectangle15_Cliquer">
      <xdr:nvSpPr>
        <xdr:cNvPr id="2" name="Rectangle 15"/>
        <xdr:cNvSpPr>
          <a:spLocks/>
        </xdr:cNvSpPr>
      </xdr:nvSpPr>
      <xdr:spPr>
        <a:xfrm>
          <a:off x="0" y="6248400"/>
          <a:ext cx="0" cy="180975"/>
        </a:xfrm>
        <a:prstGeom prst="rect">
          <a:avLst/>
        </a:prstGeom>
        <a:solidFill>
          <a:srgbClr val="C3D69B"/>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20</xdr:row>
      <xdr:rowOff>28575</xdr:rowOff>
    </xdr:from>
    <xdr:to>
      <xdr:col>0</xdr:col>
      <xdr:colOff>0</xdr:colOff>
      <xdr:row>20</xdr:row>
      <xdr:rowOff>219075</xdr:rowOff>
    </xdr:to>
    <xdr:sp macro="[0]!Rectangle18_Cliquer">
      <xdr:nvSpPr>
        <xdr:cNvPr id="3" name="Rectangle 18"/>
        <xdr:cNvSpPr>
          <a:spLocks/>
        </xdr:cNvSpPr>
      </xdr:nvSpPr>
      <xdr:spPr>
        <a:xfrm>
          <a:off x="0" y="6257925"/>
          <a:ext cx="0" cy="180975"/>
        </a:xfrm>
        <a:prstGeom prst="rect">
          <a:avLst/>
        </a:prstGeom>
        <a:solidFill>
          <a:srgbClr val="93CDDD"/>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1647825</xdr:colOff>
      <xdr:row>20</xdr:row>
      <xdr:rowOff>28575</xdr:rowOff>
    </xdr:from>
    <xdr:to>
      <xdr:col>2</xdr:col>
      <xdr:colOff>1828800</xdr:colOff>
      <xdr:row>20</xdr:row>
      <xdr:rowOff>209550</xdr:rowOff>
    </xdr:to>
    <xdr:sp macro="[0]!Rectangle20_Cliquer">
      <xdr:nvSpPr>
        <xdr:cNvPr id="4" name="Rectangle 20"/>
        <xdr:cNvSpPr>
          <a:spLocks/>
        </xdr:cNvSpPr>
      </xdr:nvSpPr>
      <xdr:spPr>
        <a:xfrm>
          <a:off x="0" y="6257925"/>
          <a:ext cx="0" cy="180975"/>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1819275</xdr:colOff>
      <xdr:row>20</xdr:row>
      <xdr:rowOff>19050</xdr:rowOff>
    </xdr:from>
    <xdr:to>
      <xdr:col>2</xdr:col>
      <xdr:colOff>2000250</xdr:colOff>
      <xdr:row>20</xdr:row>
      <xdr:rowOff>209550</xdr:rowOff>
    </xdr:to>
    <xdr:sp macro="[0]!Rectangle22_Cliquer">
      <xdr:nvSpPr>
        <xdr:cNvPr id="5" name="Rectangle 22"/>
        <xdr:cNvSpPr>
          <a:spLocks/>
        </xdr:cNvSpPr>
      </xdr:nvSpPr>
      <xdr:spPr>
        <a:xfrm>
          <a:off x="0" y="6248400"/>
          <a:ext cx="0" cy="180975"/>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180975</xdr:colOff>
      <xdr:row>4</xdr:row>
      <xdr:rowOff>104775</xdr:rowOff>
    </xdr:from>
    <xdr:to>
      <xdr:col>16</xdr:col>
      <xdr:colOff>438150</xdr:colOff>
      <xdr:row>4</xdr:row>
      <xdr:rowOff>333375</xdr:rowOff>
    </xdr:to>
    <xdr:sp macro="[0]!bp_afficherBailleur">
      <xdr:nvSpPr>
        <xdr:cNvPr id="6" name="Rectangle à coins arrondis 23"/>
        <xdr:cNvSpPr>
          <a:spLocks/>
        </xdr:cNvSpPr>
      </xdr:nvSpPr>
      <xdr:spPr>
        <a:xfrm>
          <a:off x="8820150" y="752475"/>
          <a:ext cx="266700" cy="228600"/>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5</xdr:row>
      <xdr:rowOff>95250</xdr:rowOff>
    </xdr:from>
    <xdr:to>
      <xdr:col>16</xdr:col>
      <xdr:colOff>438150</xdr:colOff>
      <xdr:row>5</xdr:row>
      <xdr:rowOff>323850</xdr:rowOff>
    </xdr:to>
    <xdr:sp macro="[0]!afficherAppartement">
      <xdr:nvSpPr>
        <xdr:cNvPr id="7" name="Rectangle à coins arrondis 24"/>
        <xdr:cNvSpPr>
          <a:spLocks/>
        </xdr:cNvSpPr>
      </xdr:nvSpPr>
      <xdr:spPr>
        <a:xfrm>
          <a:off x="8820150" y="1085850"/>
          <a:ext cx="266700" cy="228600"/>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6</xdr:row>
      <xdr:rowOff>85725</xdr:rowOff>
    </xdr:from>
    <xdr:to>
      <xdr:col>16</xdr:col>
      <xdr:colOff>447675</xdr:colOff>
      <xdr:row>6</xdr:row>
      <xdr:rowOff>323850</xdr:rowOff>
    </xdr:to>
    <xdr:sp macro="[0]!bp_afficherLocataire">
      <xdr:nvSpPr>
        <xdr:cNvPr id="8" name="Rectangle à coins arrondis 26"/>
        <xdr:cNvSpPr>
          <a:spLocks/>
        </xdr:cNvSpPr>
      </xdr:nvSpPr>
      <xdr:spPr>
        <a:xfrm>
          <a:off x="8820150" y="1419225"/>
          <a:ext cx="276225" cy="238125"/>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6</xdr:row>
      <xdr:rowOff>47625</xdr:rowOff>
    </xdr:from>
    <xdr:to>
      <xdr:col>13</xdr:col>
      <xdr:colOff>276225</xdr:colOff>
      <xdr:row>6</xdr:row>
      <xdr:rowOff>276225</xdr:rowOff>
    </xdr:to>
    <xdr:sp macro="[0]!Rectangleàcoinsarrondis29_Cliquer">
      <xdr:nvSpPr>
        <xdr:cNvPr id="9" name="Rectangle à coins arrondis 35"/>
        <xdr:cNvSpPr>
          <a:spLocks/>
        </xdr:cNvSpPr>
      </xdr:nvSpPr>
      <xdr:spPr>
        <a:xfrm>
          <a:off x="3419475" y="1381125"/>
          <a:ext cx="209550" cy="228600"/>
        </a:xfrm>
        <a:prstGeom prst="roundRect">
          <a:avLst/>
        </a:prstGeom>
        <a:solidFill>
          <a:srgbClr val="17375E"/>
        </a:solidFill>
        <a:ln w="25400" cmpd="sng">
          <a:solidFill>
            <a:srgbClr val="0D0D0D"/>
          </a:solidFill>
          <a:headEnd type="none"/>
          <a:tailEnd type="none"/>
        </a:ln>
      </xdr:spPr>
      <xdr:txBody>
        <a:bodyPr vertOverflow="clip" wrap="square" anchor="ctr"/>
        <a:p>
          <a:pPr algn="ctr">
            <a:defRPr/>
          </a:pPr>
          <a:r>
            <a:rPr lang="en-US" cap="none" sz="1800" b="1" i="0" u="none" baseline="0">
              <a:solidFill>
                <a:srgbClr val="FFFFFF"/>
              </a:solidFill>
            </a:rPr>
            <a:t>+</a:t>
          </a:r>
        </a:p>
      </xdr:txBody>
    </xdr:sp>
    <xdr:clientData/>
  </xdr:twoCellAnchor>
  <xdr:twoCellAnchor>
    <xdr:from>
      <xdr:col>13</xdr:col>
      <xdr:colOff>76200</xdr:colOff>
      <xdr:row>4</xdr:row>
      <xdr:rowOff>47625</xdr:rowOff>
    </xdr:from>
    <xdr:to>
      <xdr:col>13</xdr:col>
      <xdr:colOff>276225</xdr:colOff>
      <xdr:row>4</xdr:row>
      <xdr:rowOff>285750</xdr:rowOff>
    </xdr:to>
    <xdr:sp macro="[0]!Rectangleàcoinsarrondis37_Cliquer">
      <xdr:nvSpPr>
        <xdr:cNvPr id="10" name="Rectangle à coins arrondis 37"/>
        <xdr:cNvSpPr>
          <a:spLocks/>
        </xdr:cNvSpPr>
      </xdr:nvSpPr>
      <xdr:spPr>
        <a:xfrm>
          <a:off x="3429000" y="695325"/>
          <a:ext cx="200025" cy="238125"/>
        </a:xfrm>
        <a:prstGeom prst="roundRect">
          <a:avLst/>
        </a:prstGeom>
        <a:solidFill>
          <a:srgbClr val="17375E"/>
        </a:solidFill>
        <a:ln w="25400" cmpd="sng">
          <a:solidFill>
            <a:srgbClr val="0D0D0D"/>
          </a:solidFill>
          <a:headEnd type="none"/>
          <a:tailEnd type="none"/>
        </a:ln>
      </xdr:spPr>
      <xdr:txBody>
        <a:bodyPr vertOverflow="clip" wrap="square" anchor="ctr"/>
        <a:p>
          <a:pPr algn="ctr">
            <a:defRPr/>
          </a:pPr>
          <a:r>
            <a:rPr lang="en-US" cap="none" sz="1800" b="1" i="0" u="none" baseline="0">
              <a:solidFill>
                <a:srgbClr val="FFFFFF"/>
              </a:solidFill>
            </a:rPr>
            <a:t>+</a:t>
          </a:r>
        </a:p>
      </xdr:txBody>
    </xdr:sp>
    <xdr:clientData/>
  </xdr:twoCellAnchor>
  <xdr:twoCellAnchor>
    <xdr:from>
      <xdr:col>13</xdr:col>
      <xdr:colOff>76200</xdr:colOff>
      <xdr:row>5</xdr:row>
      <xdr:rowOff>47625</xdr:rowOff>
    </xdr:from>
    <xdr:to>
      <xdr:col>13</xdr:col>
      <xdr:colOff>276225</xdr:colOff>
      <xdr:row>5</xdr:row>
      <xdr:rowOff>276225</xdr:rowOff>
    </xdr:to>
    <xdr:sp macro="[0]!Rectangleàcoinsarrondis38_Cliquer">
      <xdr:nvSpPr>
        <xdr:cNvPr id="11" name="Rectangle à coins arrondis 38"/>
        <xdr:cNvSpPr>
          <a:spLocks/>
        </xdr:cNvSpPr>
      </xdr:nvSpPr>
      <xdr:spPr>
        <a:xfrm>
          <a:off x="3429000" y="1038225"/>
          <a:ext cx="200025" cy="228600"/>
        </a:xfrm>
        <a:prstGeom prst="roundRect">
          <a:avLst/>
        </a:prstGeom>
        <a:solidFill>
          <a:srgbClr val="17375E"/>
        </a:solidFill>
        <a:ln w="25400" cmpd="sng">
          <a:solidFill>
            <a:srgbClr val="0D0D0D"/>
          </a:solidFill>
          <a:headEnd type="none"/>
          <a:tailEnd type="none"/>
        </a:ln>
      </xdr:spPr>
      <xdr:txBody>
        <a:bodyPr vertOverflow="clip" wrap="square" anchor="ctr"/>
        <a:p>
          <a:pPr algn="ctr">
            <a:defRPr/>
          </a:pPr>
          <a:r>
            <a:rPr lang="en-US" cap="none" sz="1800" b="1" i="0" u="none" baseline="0">
              <a:solidFill>
                <a:srgbClr val="FFFFFF"/>
              </a:solidFill>
            </a:rPr>
            <a:t>+</a:t>
          </a:r>
        </a:p>
      </xdr:txBody>
    </xdr:sp>
    <xdr:clientData/>
  </xdr:twoCellAnchor>
  <xdr:twoCellAnchor>
    <xdr:from>
      <xdr:col>15</xdr:col>
      <xdr:colOff>438150</xdr:colOff>
      <xdr:row>19</xdr:row>
      <xdr:rowOff>76200</xdr:rowOff>
    </xdr:from>
    <xdr:to>
      <xdr:col>15</xdr:col>
      <xdr:colOff>2333625</xdr:colOff>
      <xdr:row>19</xdr:row>
      <xdr:rowOff>333375</xdr:rowOff>
    </xdr:to>
    <xdr:sp macro="[0]!Rectangleàcoinsarrondis26_Cliquer">
      <xdr:nvSpPr>
        <xdr:cNvPr id="12" name="Rectangle à coins arrondis 26"/>
        <xdr:cNvSpPr>
          <a:spLocks/>
        </xdr:cNvSpPr>
      </xdr:nvSpPr>
      <xdr:spPr>
        <a:xfrm>
          <a:off x="5857875" y="5867400"/>
          <a:ext cx="1895475" cy="257175"/>
        </a:xfrm>
        <a:prstGeom prst="roundRect">
          <a:avLst/>
        </a:prstGeom>
        <a:solidFill>
          <a:srgbClr val="10253F"/>
        </a:solidFill>
        <a:ln w="25400" cmpd="dbl">
          <a:solidFill>
            <a:srgbClr val="FFFFFF"/>
          </a:solidFill>
          <a:headEnd type="none"/>
          <a:tailEnd type="none"/>
        </a:ln>
      </xdr:spPr>
      <xdr:txBody>
        <a:bodyPr vertOverflow="clip" wrap="square" anchor="ctr"/>
        <a:p>
          <a:pPr algn="ctr">
            <a:defRPr/>
          </a:pPr>
          <a:r>
            <a:rPr lang="en-US" cap="none" sz="1400" b="0" i="0" u="none" baseline="0">
              <a:solidFill>
                <a:srgbClr val="FFFFFF"/>
              </a:solidFill>
            </a:rPr>
            <a:t>GENERER</a:t>
          </a:r>
        </a:p>
      </xdr:txBody>
    </xdr:sp>
    <xdr:clientData/>
  </xdr:twoCellAnchor>
  <xdr:twoCellAnchor>
    <xdr:from>
      <xdr:col>16</xdr:col>
      <xdr:colOff>57150</xdr:colOff>
      <xdr:row>16</xdr:row>
      <xdr:rowOff>333375</xdr:rowOff>
    </xdr:from>
    <xdr:to>
      <xdr:col>16</xdr:col>
      <xdr:colOff>295275</xdr:colOff>
      <xdr:row>17</xdr:row>
      <xdr:rowOff>161925</xdr:rowOff>
    </xdr:to>
    <xdr:sp macro="[0]!Saisie_Rectangleàcoinsarrondis26_Cliquer">
      <xdr:nvSpPr>
        <xdr:cNvPr id="13" name="Rectangle à coins arrondis 26"/>
        <xdr:cNvSpPr>
          <a:spLocks/>
        </xdr:cNvSpPr>
      </xdr:nvSpPr>
      <xdr:spPr>
        <a:xfrm>
          <a:off x="8696325" y="5095875"/>
          <a:ext cx="238125" cy="171450"/>
        </a:xfrm>
        <a:prstGeom prst="roundRect">
          <a:avLst/>
        </a:prstGeom>
        <a:solidFill>
          <a:srgbClr val="215968"/>
        </a:solidFill>
        <a:ln w="25400" cmpd="dbl">
          <a:solidFill>
            <a:srgbClr val="FFFFFF"/>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11</xdr:col>
      <xdr:colOff>361950</xdr:colOff>
      <xdr:row>7</xdr:row>
      <xdr:rowOff>123825</xdr:rowOff>
    </xdr:from>
    <xdr:to>
      <xdr:col>11</xdr:col>
      <xdr:colOff>2162175</xdr:colOff>
      <xdr:row>8</xdr:row>
      <xdr:rowOff>57150</xdr:rowOff>
    </xdr:to>
    <xdr:sp macro="[0]!goMail">
      <xdr:nvSpPr>
        <xdr:cNvPr id="14" name="Rectangle à coins arrondis 26"/>
        <xdr:cNvSpPr>
          <a:spLocks/>
        </xdr:cNvSpPr>
      </xdr:nvSpPr>
      <xdr:spPr>
        <a:xfrm>
          <a:off x="409575" y="1800225"/>
          <a:ext cx="1800225" cy="276225"/>
        </a:xfrm>
        <a:prstGeom prst="roundRect">
          <a:avLst/>
        </a:prstGeom>
        <a:solidFill>
          <a:srgbClr val="93CDDD"/>
        </a:solidFill>
        <a:ln w="25400" cmpd="dbl">
          <a:solidFill>
            <a:srgbClr val="FFFFFF"/>
          </a:solidFill>
          <a:headEnd type="none"/>
          <a:tailEnd type="none"/>
        </a:ln>
      </xdr:spPr>
      <xdr:txBody>
        <a:bodyPr vertOverflow="clip" wrap="square" anchor="ctr"/>
        <a:p>
          <a:pPr algn="ctr">
            <a:defRPr/>
          </a:pPr>
          <a:r>
            <a:rPr lang="en-US" cap="none" sz="1200" b="0" i="0" u="none" baseline="0">
              <a:solidFill>
                <a:srgbClr val="003366"/>
              </a:solidFill>
            </a:rPr>
            <a:t>Voir le</a:t>
          </a:r>
          <a:r>
            <a:rPr lang="en-US" cap="none" sz="1200" b="0" i="0" u="none" baseline="0">
              <a:solidFill>
                <a:srgbClr val="003366"/>
              </a:solidFill>
            </a:rPr>
            <a:t> mail </a:t>
          </a:r>
        </a:p>
      </xdr:txBody>
    </xdr:sp>
    <xdr:clientData fPrintsWithSheet="0"/>
  </xdr:twoCellAnchor>
  <xdr:twoCellAnchor>
    <xdr:from>
      <xdr:col>11</xdr:col>
      <xdr:colOff>276225</xdr:colOff>
      <xdr:row>2</xdr:row>
      <xdr:rowOff>47625</xdr:rowOff>
    </xdr:from>
    <xdr:to>
      <xdr:col>11</xdr:col>
      <xdr:colOff>2209800</xdr:colOff>
      <xdr:row>2</xdr:row>
      <xdr:rowOff>323850</xdr:rowOff>
    </xdr:to>
    <xdr:sp macro="[0]!exportUserData">
      <xdr:nvSpPr>
        <xdr:cNvPr id="15" name="Rectangle à coins arrondis 26"/>
        <xdr:cNvSpPr>
          <a:spLocks/>
        </xdr:cNvSpPr>
      </xdr:nvSpPr>
      <xdr:spPr>
        <a:xfrm>
          <a:off x="323850" y="247650"/>
          <a:ext cx="1933575" cy="276225"/>
        </a:xfrm>
        <a:prstGeom prst="roundRect">
          <a:avLst/>
        </a:prstGeom>
        <a:solidFill>
          <a:srgbClr val="93CDDD"/>
        </a:solidFill>
        <a:ln w="25400" cmpd="dbl">
          <a:solidFill>
            <a:srgbClr val="FFFFFF"/>
          </a:solidFill>
          <a:headEnd type="none"/>
          <a:tailEnd type="none"/>
        </a:ln>
      </xdr:spPr>
      <xdr:txBody>
        <a:bodyPr vertOverflow="clip" wrap="square" anchor="ctr"/>
        <a:p>
          <a:pPr algn="ctr">
            <a:defRPr/>
          </a:pPr>
          <a:r>
            <a:rPr lang="en-US" cap="none" sz="1200" b="0" i="0" u="none" baseline="0">
              <a:solidFill>
                <a:srgbClr val="003366"/>
              </a:solidFill>
            </a:rPr>
            <a:t>Exporter mes</a:t>
          </a:r>
          <a:r>
            <a:rPr lang="en-US" cap="none" sz="1200" b="0" i="0" u="none" baseline="0">
              <a:solidFill>
                <a:srgbClr val="003366"/>
              </a:solidFill>
            </a:rPr>
            <a:t> données</a:t>
          </a:r>
        </a:p>
      </xdr:txBody>
    </xdr:sp>
    <xdr:clientData/>
  </xdr:twoCellAnchor>
  <xdr:twoCellAnchor>
    <xdr:from>
      <xdr:col>11</xdr:col>
      <xdr:colOff>276225</xdr:colOff>
      <xdr:row>3</xdr:row>
      <xdr:rowOff>57150</xdr:rowOff>
    </xdr:from>
    <xdr:to>
      <xdr:col>11</xdr:col>
      <xdr:colOff>2209800</xdr:colOff>
      <xdr:row>4</xdr:row>
      <xdr:rowOff>238125</xdr:rowOff>
    </xdr:to>
    <xdr:sp macro="[0]!importUserData">
      <xdr:nvSpPr>
        <xdr:cNvPr id="16" name="Rectangle à coins arrondis 26"/>
        <xdr:cNvSpPr>
          <a:spLocks/>
        </xdr:cNvSpPr>
      </xdr:nvSpPr>
      <xdr:spPr>
        <a:xfrm>
          <a:off x="323850" y="581025"/>
          <a:ext cx="1933575" cy="304800"/>
        </a:xfrm>
        <a:prstGeom prst="roundRect">
          <a:avLst/>
        </a:prstGeom>
        <a:solidFill>
          <a:srgbClr val="93CDDD"/>
        </a:solidFill>
        <a:ln w="25400" cmpd="dbl">
          <a:solidFill>
            <a:srgbClr val="FFFFFF"/>
          </a:solidFill>
          <a:headEnd type="none"/>
          <a:tailEnd type="none"/>
        </a:ln>
      </xdr:spPr>
      <xdr:txBody>
        <a:bodyPr vertOverflow="clip" wrap="square" anchor="ctr"/>
        <a:p>
          <a:pPr algn="ctr">
            <a:defRPr/>
          </a:pPr>
          <a:r>
            <a:rPr lang="en-US" cap="none" sz="1200" b="0" i="0" u="none" baseline="0">
              <a:solidFill>
                <a:srgbClr val="003366"/>
              </a:solidFill>
            </a:rPr>
            <a:t>Importer mes</a:t>
          </a:r>
          <a:r>
            <a:rPr lang="en-US" cap="none" sz="1200" b="0" i="0" u="none" baseline="0">
              <a:solidFill>
                <a:srgbClr val="003366"/>
              </a:solidFill>
            </a:rPr>
            <a:t> données</a:t>
          </a:r>
        </a:p>
      </xdr:txBody>
    </xdr:sp>
    <xdr:clientData/>
  </xdr:twoCellAnchor>
  <xdr:twoCellAnchor>
    <xdr:from>
      <xdr:col>11</xdr:col>
      <xdr:colOff>133350</xdr:colOff>
      <xdr:row>6</xdr:row>
      <xdr:rowOff>95250</xdr:rowOff>
    </xdr:from>
    <xdr:to>
      <xdr:col>11</xdr:col>
      <xdr:colOff>2333625</xdr:colOff>
      <xdr:row>7</xdr:row>
      <xdr:rowOff>47625</xdr:rowOff>
    </xdr:to>
    <xdr:sp macro="[0]!goParamMail">
      <xdr:nvSpPr>
        <xdr:cNvPr id="17" name="Rectangle à coins arrondis 1"/>
        <xdr:cNvSpPr>
          <a:spLocks/>
        </xdr:cNvSpPr>
      </xdr:nvSpPr>
      <xdr:spPr>
        <a:xfrm>
          <a:off x="180975" y="1428750"/>
          <a:ext cx="2200275" cy="295275"/>
        </a:xfrm>
        <a:prstGeom prst="roundRect">
          <a:avLst/>
        </a:prstGeom>
        <a:solidFill>
          <a:srgbClr val="93CDDD"/>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339966"/>
              </a:solidFill>
            </a:rPr>
            <a:t>Paramètres serveur de mail</a:t>
          </a:r>
        </a:p>
      </xdr:txBody>
    </xdr:sp>
    <xdr:clientData fPrintsWithSheet="0"/>
  </xdr:twoCellAnchor>
  <xdr:twoCellAnchor>
    <xdr:from>
      <xdr:col>12</xdr:col>
      <xdr:colOff>19050</xdr:colOff>
      <xdr:row>10</xdr:row>
      <xdr:rowOff>38100</xdr:rowOff>
    </xdr:from>
    <xdr:to>
      <xdr:col>12</xdr:col>
      <xdr:colOff>295275</xdr:colOff>
      <xdr:row>10</xdr:row>
      <xdr:rowOff>247650</xdr:rowOff>
    </xdr:to>
    <xdr:sp macro="[0]!bp_afficherBailleurColoneL">
      <xdr:nvSpPr>
        <xdr:cNvPr id="18" name="Rectangle à coins arrondis 24"/>
        <xdr:cNvSpPr>
          <a:spLocks/>
        </xdr:cNvSpPr>
      </xdr:nvSpPr>
      <xdr:spPr>
        <a:xfrm>
          <a:off x="2981325" y="2743200"/>
          <a:ext cx="276225" cy="209550"/>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13</xdr:row>
      <xdr:rowOff>9525</xdr:rowOff>
    </xdr:from>
    <xdr:to>
      <xdr:col>12</xdr:col>
      <xdr:colOff>295275</xdr:colOff>
      <xdr:row>13</xdr:row>
      <xdr:rowOff>219075</xdr:rowOff>
    </xdr:to>
    <xdr:sp macro="[0]!afficherAppartement">
      <xdr:nvSpPr>
        <xdr:cNvPr id="19" name="Rectangle à coins arrondis 24"/>
        <xdr:cNvSpPr>
          <a:spLocks/>
        </xdr:cNvSpPr>
      </xdr:nvSpPr>
      <xdr:spPr>
        <a:xfrm>
          <a:off x="2981325" y="3743325"/>
          <a:ext cx="276225" cy="209550"/>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16</xdr:row>
      <xdr:rowOff>28575</xdr:rowOff>
    </xdr:from>
    <xdr:to>
      <xdr:col>12</xdr:col>
      <xdr:colOff>304800</xdr:colOff>
      <xdr:row>16</xdr:row>
      <xdr:rowOff>285750</xdr:rowOff>
    </xdr:to>
    <xdr:sp macro="[0]!bp_afficherLocataireColoneL">
      <xdr:nvSpPr>
        <xdr:cNvPr id="20" name="Rectangle à coins arrondis 26"/>
        <xdr:cNvSpPr>
          <a:spLocks/>
        </xdr:cNvSpPr>
      </xdr:nvSpPr>
      <xdr:spPr>
        <a:xfrm>
          <a:off x="2990850" y="4791075"/>
          <a:ext cx="276225" cy="247650"/>
        </a:xfrm>
        <a:prstGeom prst="roundRect">
          <a:avLst/>
        </a:prstGeom>
        <a:solidFill>
          <a:srgbClr val="002060"/>
        </a:solidFill>
        <a:ln w="25400" cmpd="dbl">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180975</xdr:rowOff>
    </xdr:from>
    <xdr:to>
      <xdr:col>5</xdr:col>
      <xdr:colOff>390525</xdr:colOff>
      <xdr:row>3</xdr:row>
      <xdr:rowOff>0</xdr:rowOff>
    </xdr:to>
    <xdr:sp macro="[0]!goHome">
      <xdr:nvSpPr>
        <xdr:cNvPr id="1" name="Rectangle à coins arrondis 1"/>
        <xdr:cNvSpPr>
          <a:spLocks/>
        </xdr:cNvSpPr>
      </xdr:nvSpPr>
      <xdr:spPr>
        <a:xfrm>
          <a:off x="6734175" y="180975"/>
          <a:ext cx="1866900" cy="390525"/>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editAs="oneCell">
    <xdr:from>
      <xdr:col>0</xdr:col>
      <xdr:colOff>1895475</xdr:colOff>
      <xdr:row>170</xdr:row>
      <xdr:rowOff>114300</xdr:rowOff>
    </xdr:from>
    <xdr:to>
      <xdr:col>0</xdr:col>
      <xdr:colOff>3476625</xdr:colOff>
      <xdr:row>175</xdr:row>
      <xdr:rowOff>47625</xdr:rowOff>
    </xdr:to>
    <xdr:pic>
      <xdr:nvPicPr>
        <xdr:cNvPr id="2" name="Image 8"/>
        <xdr:cNvPicPr preferRelativeResize="1">
          <a:picLocks noChangeAspect="1"/>
        </xdr:cNvPicPr>
      </xdr:nvPicPr>
      <xdr:blipFill>
        <a:blip r:embed="rId1"/>
        <a:stretch>
          <a:fillRect/>
        </a:stretch>
      </xdr:blipFill>
      <xdr:spPr>
        <a:xfrm>
          <a:off x="1895475" y="30908625"/>
          <a:ext cx="1581150" cy="742950"/>
        </a:xfrm>
        <a:prstGeom prst="rect">
          <a:avLst/>
        </a:prstGeom>
        <a:solidFill>
          <a:srgbClr val="4F81BD">
            <a:alpha val="0"/>
          </a:srgbClr>
        </a:solidFill>
        <a:ln w="9525" cmpd="sng">
          <a:noFill/>
        </a:ln>
      </xdr:spPr>
    </xdr:pic>
    <xdr:clientData/>
  </xdr:twoCellAnchor>
  <xdr:twoCellAnchor editAs="oneCell">
    <xdr:from>
      <xdr:col>0</xdr:col>
      <xdr:colOff>2609850</xdr:colOff>
      <xdr:row>13</xdr:row>
      <xdr:rowOff>123825</xdr:rowOff>
    </xdr:from>
    <xdr:to>
      <xdr:col>0</xdr:col>
      <xdr:colOff>4162425</xdr:colOff>
      <xdr:row>21</xdr:row>
      <xdr:rowOff>57150</xdr:rowOff>
    </xdr:to>
    <xdr:pic>
      <xdr:nvPicPr>
        <xdr:cNvPr id="3" name="Image 3"/>
        <xdr:cNvPicPr preferRelativeResize="1">
          <a:picLocks noChangeAspect="1"/>
        </xdr:cNvPicPr>
      </xdr:nvPicPr>
      <xdr:blipFill>
        <a:blip r:embed="rId1"/>
        <a:stretch>
          <a:fillRect/>
        </a:stretch>
      </xdr:blipFill>
      <xdr:spPr>
        <a:xfrm>
          <a:off x="2609850" y="4572000"/>
          <a:ext cx="1552575" cy="2152650"/>
        </a:xfrm>
        <a:prstGeom prst="rect">
          <a:avLst/>
        </a:prstGeom>
        <a:solidFill>
          <a:srgbClr val="4F81BD">
            <a:alpha val="0"/>
          </a:srgbClr>
        </a:solidFill>
        <a:ln w="9525" cmpd="sng">
          <a:noFill/>
        </a:ln>
      </xdr:spPr>
    </xdr:pic>
    <xdr:clientData/>
  </xdr:twoCellAnchor>
  <xdr:twoCellAnchor editAs="oneCell">
    <xdr:from>
      <xdr:col>0</xdr:col>
      <xdr:colOff>4162425</xdr:colOff>
      <xdr:row>53</xdr:row>
      <xdr:rowOff>142875</xdr:rowOff>
    </xdr:from>
    <xdr:to>
      <xdr:col>1</xdr:col>
      <xdr:colOff>304800</xdr:colOff>
      <xdr:row>60</xdr:row>
      <xdr:rowOff>123825</xdr:rowOff>
    </xdr:to>
    <xdr:pic>
      <xdr:nvPicPr>
        <xdr:cNvPr id="4" name="Image 4"/>
        <xdr:cNvPicPr preferRelativeResize="1">
          <a:picLocks noChangeAspect="1"/>
        </xdr:cNvPicPr>
      </xdr:nvPicPr>
      <xdr:blipFill>
        <a:blip r:embed="rId1"/>
        <a:stretch>
          <a:fillRect/>
        </a:stretch>
      </xdr:blipFill>
      <xdr:spPr>
        <a:xfrm>
          <a:off x="4162425" y="11991975"/>
          <a:ext cx="1581150" cy="1114425"/>
        </a:xfrm>
        <a:prstGeom prst="rect">
          <a:avLst/>
        </a:prstGeom>
        <a:solidFill>
          <a:srgbClr val="4F81BD">
            <a:alpha val="0"/>
          </a:srgbClr>
        </a:solidFill>
        <a:ln w="9525" cmpd="sng">
          <a:noFill/>
        </a:ln>
      </xdr:spPr>
    </xdr:pic>
    <xdr:clientData/>
  </xdr:twoCellAnchor>
  <xdr:twoCellAnchor editAs="oneCell">
    <xdr:from>
      <xdr:col>0</xdr:col>
      <xdr:colOff>4524375</xdr:colOff>
      <xdr:row>81</xdr:row>
      <xdr:rowOff>19050</xdr:rowOff>
    </xdr:from>
    <xdr:to>
      <xdr:col>1</xdr:col>
      <xdr:colOff>676275</xdr:colOff>
      <xdr:row>88</xdr:row>
      <xdr:rowOff>9525</xdr:rowOff>
    </xdr:to>
    <xdr:pic>
      <xdr:nvPicPr>
        <xdr:cNvPr id="5" name="Image 5"/>
        <xdr:cNvPicPr preferRelativeResize="1">
          <a:picLocks noChangeAspect="1"/>
        </xdr:cNvPicPr>
      </xdr:nvPicPr>
      <xdr:blipFill>
        <a:blip r:embed="rId1"/>
        <a:stretch>
          <a:fillRect/>
        </a:stretch>
      </xdr:blipFill>
      <xdr:spPr>
        <a:xfrm>
          <a:off x="4524375" y="16402050"/>
          <a:ext cx="1590675" cy="1123950"/>
        </a:xfrm>
        <a:prstGeom prst="rect">
          <a:avLst/>
        </a:prstGeom>
        <a:solidFill>
          <a:srgbClr val="4F81BD">
            <a:alpha val="0"/>
          </a:srgbClr>
        </a:solidFill>
        <a:ln w="9525" cmpd="sng">
          <a:noFill/>
        </a:ln>
      </xdr:spPr>
    </xdr:pic>
    <xdr:clientData/>
  </xdr:twoCellAnchor>
  <xdr:twoCellAnchor editAs="oneCell">
    <xdr:from>
      <xdr:col>0</xdr:col>
      <xdr:colOff>1895475</xdr:colOff>
      <xdr:row>1</xdr:row>
      <xdr:rowOff>85725</xdr:rowOff>
    </xdr:from>
    <xdr:to>
      <xdr:col>0</xdr:col>
      <xdr:colOff>4343400</xdr:colOff>
      <xdr:row>5</xdr:row>
      <xdr:rowOff>447675</xdr:rowOff>
    </xdr:to>
    <xdr:pic>
      <xdr:nvPicPr>
        <xdr:cNvPr id="6" name="Image 6"/>
        <xdr:cNvPicPr preferRelativeResize="1">
          <a:picLocks noChangeAspect="1"/>
        </xdr:cNvPicPr>
      </xdr:nvPicPr>
      <xdr:blipFill>
        <a:blip r:embed="rId1"/>
        <a:stretch>
          <a:fillRect/>
        </a:stretch>
      </xdr:blipFill>
      <xdr:spPr>
        <a:xfrm>
          <a:off x="1895475" y="276225"/>
          <a:ext cx="2447925" cy="1123950"/>
        </a:xfrm>
        <a:prstGeom prst="rect">
          <a:avLst/>
        </a:prstGeom>
        <a:solidFill>
          <a:srgbClr val="4F81BD"/>
        </a:solidFill>
        <a:ln w="9525" cmpd="sng">
          <a:noFill/>
        </a:ln>
      </xdr:spPr>
    </xdr:pic>
    <xdr:clientData/>
  </xdr:twoCellAnchor>
  <xdr:twoCellAnchor editAs="oneCell">
    <xdr:from>
      <xdr:col>0</xdr:col>
      <xdr:colOff>1971675</xdr:colOff>
      <xdr:row>7</xdr:row>
      <xdr:rowOff>514350</xdr:rowOff>
    </xdr:from>
    <xdr:to>
      <xdr:col>0</xdr:col>
      <xdr:colOff>4524375</xdr:colOff>
      <xdr:row>9</xdr:row>
      <xdr:rowOff>781050</xdr:rowOff>
    </xdr:to>
    <xdr:pic>
      <xdr:nvPicPr>
        <xdr:cNvPr id="7" name="Image 7"/>
        <xdr:cNvPicPr preferRelativeResize="1">
          <a:picLocks noChangeAspect="1"/>
        </xdr:cNvPicPr>
      </xdr:nvPicPr>
      <xdr:blipFill>
        <a:blip r:embed="rId1"/>
        <a:stretch>
          <a:fillRect/>
        </a:stretch>
      </xdr:blipFill>
      <xdr:spPr>
        <a:xfrm>
          <a:off x="1971675" y="2438400"/>
          <a:ext cx="2552700" cy="1000125"/>
        </a:xfrm>
        <a:prstGeom prst="rect">
          <a:avLst/>
        </a:prstGeom>
        <a:solidFill>
          <a:srgbClr val="4F81BD">
            <a:alpha val="0"/>
          </a:srgbClr>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85725</xdr:colOff>
      <xdr:row>0</xdr:row>
      <xdr:rowOff>400050</xdr:rowOff>
    </xdr:to>
    <xdr:sp macro="[0]!goHome">
      <xdr:nvSpPr>
        <xdr:cNvPr id="1" name="Rectangle à coins arrondis 1"/>
        <xdr:cNvSpPr>
          <a:spLocks/>
        </xdr:cNvSpPr>
      </xdr:nvSpPr>
      <xdr:spPr>
        <a:xfrm>
          <a:off x="7000875" y="0"/>
          <a:ext cx="1609725" cy="400050"/>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editAs="oneCell">
    <xdr:from>
      <xdr:col>1</xdr:col>
      <xdr:colOff>314325</xdr:colOff>
      <xdr:row>188</xdr:row>
      <xdr:rowOff>114300</xdr:rowOff>
    </xdr:from>
    <xdr:to>
      <xdr:col>4</xdr:col>
      <xdr:colOff>619125</xdr:colOff>
      <xdr:row>194</xdr:row>
      <xdr:rowOff>133350</xdr:rowOff>
    </xdr:to>
    <xdr:pic>
      <xdr:nvPicPr>
        <xdr:cNvPr id="2" name="Image 8"/>
        <xdr:cNvPicPr preferRelativeResize="1">
          <a:picLocks noChangeAspect="1"/>
        </xdr:cNvPicPr>
      </xdr:nvPicPr>
      <xdr:blipFill>
        <a:blip r:embed="rId1"/>
        <a:stretch>
          <a:fillRect/>
        </a:stretch>
      </xdr:blipFill>
      <xdr:spPr>
        <a:xfrm>
          <a:off x="4019550" y="31794450"/>
          <a:ext cx="2076450" cy="990600"/>
        </a:xfrm>
        <a:prstGeom prst="rect">
          <a:avLst/>
        </a:prstGeom>
        <a:solidFill>
          <a:srgbClr val="4F81BD">
            <a:alpha val="0"/>
          </a:srgbClr>
        </a:solidFill>
        <a:ln w="9525" cmpd="sng">
          <a:noFill/>
        </a:ln>
      </xdr:spPr>
    </xdr:pic>
    <xdr:clientData/>
  </xdr:twoCellAnchor>
  <xdr:twoCellAnchor editAs="oneCell">
    <xdr:from>
      <xdr:col>0</xdr:col>
      <xdr:colOff>3095625</xdr:colOff>
      <xdr:row>31</xdr:row>
      <xdr:rowOff>133350</xdr:rowOff>
    </xdr:from>
    <xdr:to>
      <xdr:col>3</xdr:col>
      <xdr:colOff>142875</xdr:colOff>
      <xdr:row>45</xdr:row>
      <xdr:rowOff>104775</xdr:rowOff>
    </xdr:to>
    <xdr:pic>
      <xdr:nvPicPr>
        <xdr:cNvPr id="3" name="Image 3"/>
        <xdr:cNvPicPr preferRelativeResize="1">
          <a:picLocks noChangeAspect="1"/>
        </xdr:cNvPicPr>
      </xdr:nvPicPr>
      <xdr:blipFill>
        <a:blip r:embed="rId1"/>
        <a:stretch>
          <a:fillRect/>
        </a:stretch>
      </xdr:blipFill>
      <xdr:spPr>
        <a:xfrm>
          <a:off x="3095625" y="6191250"/>
          <a:ext cx="1762125" cy="2438400"/>
        </a:xfrm>
        <a:prstGeom prst="rect">
          <a:avLst/>
        </a:prstGeom>
        <a:solidFill>
          <a:srgbClr val="4F81BD">
            <a:alpha val="0"/>
          </a:srgbClr>
        </a:solidFill>
        <a:ln w="9525" cmpd="sng">
          <a:noFill/>
        </a:ln>
      </xdr:spPr>
    </xdr:pic>
    <xdr:clientData/>
  </xdr:twoCellAnchor>
  <xdr:twoCellAnchor editAs="oneCell">
    <xdr:from>
      <xdr:col>5</xdr:col>
      <xdr:colOff>47625</xdr:colOff>
      <xdr:row>68</xdr:row>
      <xdr:rowOff>123825</xdr:rowOff>
    </xdr:from>
    <xdr:to>
      <xdr:col>7</xdr:col>
      <xdr:colOff>600075</xdr:colOff>
      <xdr:row>78</xdr:row>
      <xdr:rowOff>9525</xdr:rowOff>
    </xdr:to>
    <xdr:pic>
      <xdr:nvPicPr>
        <xdr:cNvPr id="4" name="Image 4"/>
        <xdr:cNvPicPr preferRelativeResize="1">
          <a:picLocks noChangeAspect="1"/>
        </xdr:cNvPicPr>
      </xdr:nvPicPr>
      <xdr:blipFill>
        <a:blip r:embed="rId1"/>
        <a:stretch>
          <a:fillRect/>
        </a:stretch>
      </xdr:blipFill>
      <xdr:spPr>
        <a:xfrm>
          <a:off x="6286500" y="12372975"/>
          <a:ext cx="2076450" cy="1504950"/>
        </a:xfrm>
        <a:prstGeom prst="rect">
          <a:avLst/>
        </a:prstGeom>
        <a:solidFill>
          <a:srgbClr val="4F81BD">
            <a:alpha val="0"/>
          </a:srgbClr>
        </a:solidFill>
        <a:ln w="9525" cmpd="sng">
          <a:noFill/>
        </a:ln>
      </xdr:spPr>
    </xdr:pic>
    <xdr:clientData/>
  </xdr:twoCellAnchor>
  <xdr:twoCellAnchor editAs="oneCell">
    <xdr:from>
      <xdr:col>5</xdr:col>
      <xdr:colOff>409575</xdr:colOff>
      <xdr:row>96</xdr:row>
      <xdr:rowOff>114300</xdr:rowOff>
    </xdr:from>
    <xdr:to>
      <xdr:col>8</xdr:col>
      <xdr:colOff>209550</xdr:colOff>
      <xdr:row>106</xdr:row>
      <xdr:rowOff>0</xdr:rowOff>
    </xdr:to>
    <xdr:pic>
      <xdr:nvPicPr>
        <xdr:cNvPr id="5" name="Image 5"/>
        <xdr:cNvPicPr preferRelativeResize="1">
          <a:picLocks noChangeAspect="1"/>
        </xdr:cNvPicPr>
      </xdr:nvPicPr>
      <xdr:blipFill>
        <a:blip r:embed="rId1"/>
        <a:stretch>
          <a:fillRect/>
        </a:stretch>
      </xdr:blipFill>
      <xdr:spPr>
        <a:xfrm>
          <a:off x="6648450" y="16897350"/>
          <a:ext cx="2085975" cy="1504950"/>
        </a:xfrm>
        <a:prstGeom prst="rect">
          <a:avLst/>
        </a:prstGeom>
        <a:solidFill>
          <a:srgbClr val="4F81BD">
            <a:alpha val="0"/>
          </a:srgbClr>
        </a:solidFill>
        <a:ln w="9525" cmpd="sng">
          <a:noFill/>
        </a:ln>
      </xdr:spPr>
    </xdr:pic>
    <xdr:clientData/>
  </xdr:twoCellAnchor>
  <xdr:twoCellAnchor editAs="oneCell">
    <xdr:from>
      <xdr:col>1</xdr:col>
      <xdr:colOff>161925</xdr:colOff>
      <xdr:row>1</xdr:row>
      <xdr:rowOff>66675</xdr:rowOff>
    </xdr:from>
    <xdr:to>
      <xdr:col>4</xdr:col>
      <xdr:colOff>266700</xdr:colOff>
      <xdr:row>5</xdr:row>
      <xdr:rowOff>180975</xdr:rowOff>
    </xdr:to>
    <xdr:pic>
      <xdr:nvPicPr>
        <xdr:cNvPr id="6" name="Image 6"/>
        <xdr:cNvPicPr preferRelativeResize="1">
          <a:picLocks noChangeAspect="1"/>
        </xdr:cNvPicPr>
      </xdr:nvPicPr>
      <xdr:blipFill>
        <a:blip r:embed="rId1"/>
        <a:stretch>
          <a:fillRect/>
        </a:stretch>
      </xdr:blipFill>
      <xdr:spPr>
        <a:xfrm>
          <a:off x="3867150" y="666750"/>
          <a:ext cx="1876425" cy="847725"/>
        </a:xfrm>
        <a:prstGeom prst="rect">
          <a:avLst/>
        </a:prstGeom>
        <a:solidFill>
          <a:srgbClr val="4F81BD"/>
        </a:solidFill>
        <a:ln w="9525" cmpd="sng">
          <a:noFill/>
        </a:ln>
      </xdr:spPr>
    </xdr:pic>
    <xdr:clientData/>
  </xdr:twoCellAnchor>
  <xdr:twoCellAnchor editAs="oneCell">
    <xdr:from>
      <xdr:col>1</xdr:col>
      <xdr:colOff>95250</xdr:colOff>
      <xdr:row>7</xdr:row>
      <xdr:rowOff>161925</xdr:rowOff>
    </xdr:from>
    <xdr:to>
      <xdr:col>4</xdr:col>
      <xdr:colOff>247650</xdr:colOff>
      <xdr:row>11</xdr:row>
      <xdr:rowOff>161925</xdr:rowOff>
    </xdr:to>
    <xdr:pic>
      <xdr:nvPicPr>
        <xdr:cNvPr id="7" name="Image 7"/>
        <xdr:cNvPicPr preferRelativeResize="1">
          <a:picLocks noChangeAspect="1"/>
        </xdr:cNvPicPr>
      </xdr:nvPicPr>
      <xdr:blipFill>
        <a:blip r:embed="rId1"/>
        <a:stretch>
          <a:fillRect/>
        </a:stretch>
      </xdr:blipFill>
      <xdr:spPr>
        <a:xfrm>
          <a:off x="3800475" y="1876425"/>
          <a:ext cx="1924050" cy="762000"/>
        </a:xfrm>
        <a:prstGeom prst="rect">
          <a:avLst/>
        </a:prstGeom>
        <a:solidFill>
          <a:srgbClr val="4F81BD">
            <a:alpha val="0"/>
          </a:srgbClr>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180975</xdr:rowOff>
    </xdr:from>
    <xdr:to>
      <xdr:col>5</xdr:col>
      <xdr:colOff>400050</xdr:colOff>
      <xdr:row>3</xdr:row>
      <xdr:rowOff>9525</xdr:rowOff>
    </xdr:to>
    <xdr:sp macro="[0]!goHome">
      <xdr:nvSpPr>
        <xdr:cNvPr id="1" name="Rectangle à coins arrondis 1"/>
        <xdr:cNvSpPr>
          <a:spLocks/>
        </xdr:cNvSpPr>
      </xdr:nvSpPr>
      <xdr:spPr>
        <a:xfrm>
          <a:off x="6543675" y="180975"/>
          <a:ext cx="1876425" cy="400050"/>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editAs="oneCell">
    <xdr:from>
      <xdr:col>0</xdr:col>
      <xdr:colOff>400050</xdr:colOff>
      <xdr:row>192</xdr:row>
      <xdr:rowOff>19050</xdr:rowOff>
    </xdr:from>
    <xdr:to>
      <xdr:col>0</xdr:col>
      <xdr:colOff>2476500</xdr:colOff>
      <xdr:row>198</xdr:row>
      <xdr:rowOff>9525</xdr:rowOff>
    </xdr:to>
    <xdr:pic>
      <xdr:nvPicPr>
        <xdr:cNvPr id="2" name="Image 8"/>
        <xdr:cNvPicPr preferRelativeResize="1">
          <a:picLocks noChangeAspect="1"/>
        </xdr:cNvPicPr>
      </xdr:nvPicPr>
      <xdr:blipFill>
        <a:blip r:embed="rId1"/>
        <a:stretch>
          <a:fillRect/>
        </a:stretch>
      </xdr:blipFill>
      <xdr:spPr>
        <a:xfrm>
          <a:off x="400050" y="31946850"/>
          <a:ext cx="2076450" cy="962025"/>
        </a:xfrm>
        <a:prstGeom prst="rect">
          <a:avLst/>
        </a:prstGeom>
        <a:solidFill>
          <a:srgbClr val="4F81BD">
            <a:alpha val="0"/>
          </a:srgbClr>
        </a:solidFill>
        <a:ln w="9525" cmpd="sng">
          <a:noFill/>
        </a:ln>
      </xdr:spPr>
    </xdr:pic>
    <xdr:clientData/>
  </xdr:twoCellAnchor>
  <xdr:twoCellAnchor editAs="oneCell">
    <xdr:from>
      <xdr:col>0</xdr:col>
      <xdr:colOff>1743075</xdr:colOff>
      <xdr:row>30</xdr:row>
      <xdr:rowOff>133350</xdr:rowOff>
    </xdr:from>
    <xdr:to>
      <xdr:col>1</xdr:col>
      <xdr:colOff>1171575</xdr:colOff>
      <xdr:row>46</xdr:row>
      <xdr:rowOff>152400</xdr:rowOff>
    </xdr:to>
    <xdr:pic>
      <xdr:nvPicPr>
        <xdr:cNvPr id="3" name="Image 3"/>
        <xdr:cNvPicPr preferRelativeResize="1">
          <a:picLocks noChangeAspect="1"/>
        </xdr:cNvPicPr>
      </xdr:nvPicPr>
      <xdr:blipFill>
        <a:blip r:embed="rId1"/>
        <a:stretch>
          <a:fillRect/>
        </a:stretch>
      </xdr:blipFill>
      <xdr:spPr>
        <a:xfrm>
          <a:off x="1743075" y="5429250"/>
          <a:ext cx="2066925" cy="2924175"/>
        </a:xfrm>
        <a:prstGeom prst="rect">
          <a:avLst/>
        </a:prstGeom>
        <a:solidFill>
          <a:srgbClr val="4F81BD">
            <a:alpha val="0"/>
          </a:srgbClr>
        </a:solidFill>
        <a:ln w="9525" cmpd="sng">
          <a:noFill/>
        </a:ln>
      </xdr:spPr>
    </xdr:pic>
    <xdr:clientData/>
  </xdr:twoCellAnchor>
  <xdr:twoCellAnchor editAs="oneCell">
    <xdr:from>
      <xdr:col>1</xdr:col>
      <xdr:colOff>28575</xdr:colOff>
      <xdr:row>75</xdr:row>
      <xdr:rowOff>47625</xdr:rowOff>
    </xdr:from>
    <xdr:to>
      <xdr:col>1</xdr:col>
      <xdr:colOff>2105025</xdr:colOff>
      <xdr:row>84</xdr:row>
      <xdr:rowOff>47625</xdr:rowOff>
    </xdr:to>
    <xdr:pic>
      <xdr:nvPicPr>
        <xdr:cNvPr id="4" name="Image 4"/>
        <xdr:cNvPicPr preferRelativeResize="1">
          <a:picLocks noChangeAspect="1"/>
        </xdr:cNvPicPr>
      </xdr:nvPicPr>
      <xdr:blipFill>
        <a:blip r:embed="rId1"/>
        <a:stretch>
          <a:fillRect/>
        </a:stretch>
      </xdr:blipFill>
      <xdr:spPr>
        <a:xfrm>
          <a:off x="2667000" y="13030200"/>
          <a:ext cx="2076450" cy="1457325"/>
        </a:xfrm>
        <a:prstGeom prst="rect">
          <a:avLst/>
        </a:prstGeom>
        <a:solidFill>
          <a:srgbClr val="4F81BD">
            <a:alpha val="0"/>
          </a:srgbClr>
        </a:solidFill>
        <a:ln w="9525" cmpd="sng">
          <a:noFill/>
        </a:ln>
      </xdr:spPr>
    </xdr:pic>
    <xdr:clientData/>
  </xdr:twoCellAnchor>
  <xdr:twoCellAnchor editAs="oneCell">
    <xdr:from>
      <xdr:col>1</xdr:col>
      <xdr:colOff>390525</xdr:colOff>
      <xdr:row>102</xdr:row>
      <xdr:rowOff>85725</xdr:rowOff>
    </xdr:from>
    <xdr:to>
      <xdr:col>1</xdr:col>
      <xdr:colOff>2476500</xdr:colOff>
      <xdr:row>111</xdr:row>
      <xdr:rowOff>76200</xdr:rowOff>
    </xdr:to>
    <xdr:pic>
      <xdr:nvPicPr>
        <xdr:cNvPr id="5" name="Image 5"/>
        <xdr:cNvPicPr preferRelativeResize="1">
          <a:picLocks noChangeAspect="1"/>
        </xdr:cNvPicPr>
      </xdr:nvPicPr>
      <xdr:blipFill>
        <a:blip r:embed="rId1"/>
        <a:stretch>
          <a:fillRect/>
        </a:stretch>
      </xdr:blipFill>
      <xdr:spPr>
        <a:xfrm>
          <a:off x="3028950" y="17440275"/>
          <a:ext cx="2085975" cy="1457325"/>
        </a:xfrm>
        <a:prstGeom prst="rect">
          <a:avLst/>
        </a:prstGeom>
        <a:solidFill>
          <a:srgbClr val="4F81BD">
            <a:alpha val="0"/>
          </a:srgbClr>
        </a:solidFill>
        <a:ln w="9525" cmpd="sng">
          <a:noFill/>
        </a:ln>
      </xdr:spPr>
    </xdr:pic>
    <xdr:clientData/>
  </xdr:twoCellAnchor>
  <xdr:twoCellAnchor editAs="oneCell">
    <xdr:from>
      <xdr:col>0</xdr:col>
      <xdr:colOff>304800</xdr:colOff>
      <xdr:row>5</xdr:row>
      <xdr:rowOff>85725</xdr:rowOff>
    </xdr:from>
    <xdr:to>
      <xdr:col>0</xdr:col>
      <xdr:colOff>2371725</xdr:colOff>
      <xdr:row>9</xdr:row>
      <xdr:rowOff>142875</xdr:rowOff>
    </xdr:to>
    <xdr:pic>
      <xdr:nvPicPr>
        <xdr:cNvPr id="6" name="Image 6"/>
        <xdr:cNvPicPr preferRelativeResize="1">
          <a:picLocks noChangeAspect="1"/>
        </xdr:cNvPicPr>
      </xdr:nvPicPr>
      <xdr:blipFill>
        <a:blip r:embed="rId1"/>
        <a:stretch>
          <a:fillRect/>
        </a:stretch>
      </xdr:blipFill>
      <xdr:spPr>
        <a:xfrm>
          <a:off x="304800" y="1038225"/>
          <a:ext cx="2066925" cy="952500"/>
        </a:xfrm>
        <a:prstGeom prst="rect">
          <a:avLst/>
        </a:prstGeom>
        <a:solidFill>
          <a:srgbClr val="4F81BD"/>
        </a:solidFill>
        <a:ln w="9525" cmpd="sng">
          <a:noFill/>
        </a:ln>
      </xdr:spPr>
    </xdr:pic>
    <xdr:clientData/>
  </xdr:twoCellAnchor>
  <xdr:twoCellAnchor editAs="oneCell">
    <xdr:from>
      <xdr:col>0</xdr:col>
      <xdr:colOff>114300</xdr:colOff>
      <xdr:row>13</xdr:row>
      <xdr:rowOff>171450</xdr:rowOff>
    </xdr:from>
    <xdr:to>
      <xdr:col>0</xdr:col>
      <xdr:colOff>2200275</xdr:colOff>
      <xdr:row>16</xdr:row>
      <xdr:rowOff>38100</xdr:rowOff>
    </xdr:to>
    <xdr:pic>
      <xdr:nvPicPr>
        <xdr:cNvPr id="7" name="Image 7"/>
        <xdr:cNvPicPr preferRelativeResize="1">
          <a:picLocks noChangeAspect="1"/>
        </xdr:cNvPicPr>
      </xdr:nvPicPr>
      <xdr:blipFill>
        <a:blip r:embed="rId1"/>
        <a:stretch>
          <a:fillRect/>
        </a:stretch>
      </xdr:blipFill>
      <xdr:spPr>
        <a:xfrm>
          <a:off x="114300" y="2781300"/>
          <a:ext cx="2085975" cy="819150"/>
        </a:xfrm>
        <a:prstGeom prst="rect">
          <a:avLst/>
        </a:prstGeom>
        <a:solidFill>
          <a:srgbClr val="4F81BD">
            <a:alpha val="0"/>
          </a:srgbClr>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27</xdr:row>
      <xdr:rowOff>28575</xdr:rowOff>
    </xdr:from>
    <xdr:to>
      <xdr:col>9</xdr:col>
      <xdr:colOff>419100</xdr:colOff>
      <xdr:row>27</xdr:row>
      <xdr:rowOff>428625</xdr:rowOff>
    </xdr:to>
    <xdr:sp macro="[0]!goHome">
      <xdr:nvSpPr>
        <xdr:cNvPr id="1" name="Rectangle à coins arrondis 1"/>
        <xdr:cNvSpPr>
          <a:spLocks/>
        </xdr:cNvSpPr>
      </xdr:nvSpPr>
      <xdr:spPr>
        <a:xfrm>
          <a:off x="6981825" y="5276850"/>
          <a:ext cx="1609725" cy="390525"/>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xdr:from>
      <xdr:col>10</xdr:col>
      <xdr:colOff>28575</xdr:colOff>
      <xdr:row>27</xdr:row>
      <xdr:rowOff>28575</xdr:rowOff>
    </xdr:from>
    <xdr:to>
      <xdr:col>12</xdr:col>
      <xdr:colOff>114300</xdr:colOff>
      <xdr:row>27</xdr:row>
      <xdr:rowOff>428625</xdr:rowOff>
    </xdr:to>
    <xdr:sp macro="[0]!goPartieDeux">
      <xdr:nvSpPr>
        <xdr:cNvPr id="2" name="Rectangle à coins arrondis 2"/>
        <xdr:cNvSpPr>
          <a:spLocks/>
        </xdr:cNvSpPr>
      </xdr:nvSpPr>
      <xdr:spPr>
        <a:xfrm>
          <a:off x="8963025" y="5276850"/>
          <a:ext cx="1609725" cy="390525"/>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Partie 2</a:t>
          </a:r>
        </a:p>
      </xdr:txBody>
    </xdr:sp>
    <xdr:clientData fPrintsWithSheet="0"/>
  </xdr:twoCellAnchor>
  <xdr:twoCellAnchor editAs="oneCell">
    <xdr:from>
      <xdr:col>0</xdr:col>
      <xdr:colOff>352425</xdr:colOff>
      <xdr:row>161</xdr:row>
      <xdr:rowOff>19050</xdr:rowOff>
    </xdr:from>
    <xdr:to>
      <xdr:col>2</xdr:col>
      <xdr:colOff>466725</xdr:colOff>
      <xdr:row>167</xdr:row>
      <xdr:rowOff>9525</xdr:rowOff>
    </xdr:to>
    <xdr:pic>
      <xdr:nvPicPr>
        <xdr:cNvPr id="3" name="Image 8"/>
        <xdr:cNvPicPr preferRelativeResize="1">
          <a:picLocks noChangeAspect="1"/>
        </xdr:cNvPicPr>
      </xdr:nvPicPr>
      <xdr:blipFill>
        <a:blip r:embed="rId1"/>
        <a:stretch>
          <a:fillRect/>
        </a:stretch>
      </xdr:blipFill>
      <xdr:spPr>
        <a:xfrm>
          <a:off x="352425" y="30994350"/>
          <a:ext cx="2076450" cy="962025"/>
        </a:xfrm>
        <a:prstGeom prst="rect">
          <a:avLst/>
        </a:prstGeom>
        <a:solidFill>
          <a:srgbClr val="4F81BD">
            <a:alpha val="0"/>
          </a:srgbClr>
        </a:solidFill>
        <a:ln w="9525" cmpd="sng">
          <a:noFill/>
        </a:ln>
      </xdr:spPr>
    </xdr:pic>
    <xdr:clientData/>
  </xdr:twoCellAnchor>
  <xdr:twoCellAnchor editAs="oneCell">
    <xdr:from>
      <xdr:col>1</xdr:col>
      <xdr:colOff>266700</xdr:colOff>
      <xdr:row>26</xdr:row>
      <xdr:rowOff>114300</xdr:rowOff>
    </xdr:from>
    <xdr:to>
      <xdr:col>3</xdr:col>
      <xdr:colOff>381000</xdr:colOff>
      <xdr:row>27</xdr:row>
      <xdr:rowOff>2914650</xdr:rowOff>
    </xdr:to>
    <xdr:pic>
      <xdr:nvPicPr>
        <xdr:cNvPr id="4" name="Image 3"/>
        <xdr:cNvPicPr preferRelativeResize="1">
          <a:picLocks noChangeAspect="1"/>
        </xdr:cNvPicPr>
      </xdr:nvPicPr>
      <xdr:blipFill>
        <a:blip r:embed="rId1"/>
        <a:stretch>
          <a:fillRect/>
        </a:stretch>
      </xdr:blipFill>
      <xdr:spPr>
        <a:xfrm>
          <a:off x="1247775" y="5238750"/>
          <a:ext cx="2076450" cy="2924175"/>
        </a:xfrm>
        <a:prstGeom prst="rect">
          <a:avLst/>
        </a:prstGeom>
        <a:solidFill>
          <a:srgbClr val="4F81BD">
            <a:alpha val="0"/>
          </a:srgbClr>
        </a:solidFill>
        <a:ln w="9525" cmpd="sng">
          <a:noFill/>
        </a:ln>
      </xdr:spPr>
    </xdr:pic>
    <xdr:clientData/>
  </xdr:twoCellAnchor>
  <xdr:twoCellAnchor editAs="oneCell">
    <xdr:from>
      <xdr:col>2</xdr:col>
      <xdr:colOff>657225</xdr:colOff>
      <xdr:row>44</xdr:row>
      <xdr:rowOff>47625</xdr:rowOff>
    </xdr:from>
    <xdr:to>
      <xdr:col>4</xdr:col>
      <xdr:colOff>781050</xdr:colOff>
      <xdr:row>53</xdr:row>
      <xdr:rowOff>47625</xdr:rowOff>
    </xdr:to>
    <xdr:pic>
      <xdr:nvPicPr>
        <xdr:cNvPr id="5" name="Image 4"/>
        <xdr:cNvPicPr preferRelativeResize="1">
          <a:picLocks noChangeAspect="1"/>
        </xdr:cNvPicPr>
      </xdr:nvPicPr>
      <xdr:blipFill>
        <a:blip r:embed="rId1"/>
        <a:stretch>
          <a:fillRect/>
        </a:stretch>
      </xdr:blipFill>
      <xdr:spPr>
        <a:xfrm>
          <a:off x="2619375" y="12077700"/>
          <a:ext cx="2085975" cy="1457325"/>
        </a:xfrm>
        <a:prstGeom prst="rect">
          <a:avLst/>
        </a:prstGeom>
        <a:solidFill>
          <a:srgbClr val="4F81BD">
            <a:alpha val="0"/>
          </a:srgbClr>
        </a:solidFill>
        <a:ln w="9525" cmpd="sng">
          <a:noFill/>
        </a:ln>
      </xdr:spPr>
    </xdr:pic>
    <xdr:clientData/>
  </xdr:twoCellAnchor>
  <xdr:twoCellAnchor editAs="oneCell">
    <xdr:from>
      <xdr:col>3</xdr:col>
      <xdr:colOff>47625</xdr:colOff>
      <xdr:row>71</xdr:row>
      <xdr:rowOff>85725</xdr:rowOff>
    </xdr:from>
    <xdr:to>
      <xdr:col>5</xdr:col>
      <xdr:colOff>171450</xdr:colOff>
      <xdr:row>80</xdr:row>
      <xdr:rowOff>76200</xdr:rowOff>
    </xdr:to>
    <xdr:pic>
      <xdr:nvPicPr>
        <xdr:cNvPr id="6" name="Image 5"/>
        <xdr:cNvPicPr preferRelativeResize="1">
          <a:picLocks noChangeAspect="1"/>
        </xdr:cNvPicPr>
      </xdr:nvPicPr>
      <xdr:blipFill>
        <a:blip r:embed="rId1"/>
        <a:stretch>
          <a:fillRect/>
        </a:stretch>
      </xdr:blipFill>
      <xdr:spPr>
        <a:xfrm>
          <a:off x="2990850" y="16487775"/>
          <a:ext cx="2085975" cy="1457325"/>
        </a:xfrm>
        <a:prstGeom prst="rect">
          <a:avLst/>
        </a:prstGeom>
        <a:solidFill>
          <a:srgbClr val="4F81BD">
            <a:alpha val="0"/>
          </a:srgbClr>
        </a:solidFill>
        <a:ln w="9525" cmpd="sng">
          <a:noFill/>
        </a:ln>
      </xdr:spPr>
    </xdr:pic>
    <xdr:clientData/>
  </xdr:twoCellAnchor>
  <xdr:twoCellAnchor editAs="oneCell">
    <xdr:from>
      <xdr:col>0</xdr:col>
      <xdr:colOff>257175</xdr:colOff>
      <xdr:row>0</xdr:row>
      <xdr:rowOff>142875</xdr:rowOff>
    </xdr:from>
    <xdr:to>
      <xdr:col>2</xdr:col>
      <xdr:colOff>361950</xdr:colOff>
      <xdr:row>4</xdr:row>
      <xdr:rowOff>76200</xdr:rowOff>
    </xdr:to>
    <xdr:pic>
      <xdr:nvPicPr>
        <xdr:cNvPr id="7" name="Image 6"/>
        <xdr:cNvPicPr preferRelativeResize="1">
          <a:picLocks noChangeAspect="1"/>
        </xdr:cNvPicPr>
      </xdr:nvPicPr>
      <xdr:blipFill>
        <a:blip r:embed="rId1"/>
        <a:stretch>
          <a:fillRect/>
        </a:stretch>
      </xdr:blipFill>
      <xdr:spPr>
        <a:xfrm>
          <a:off x="257175" y="142875"/>
          <a:ext cx="2066925" cy="933450"/>
        </a:xfrm>
        <a:prstGeom prst="rect">
          <a:avLst/>
        </a:prstGeom>
        <a:solidFill>
          <a:srgbClr val="4F81BD"/>
        </a:solidFill>
        <a:ln w="9525" cmpd="sng">
          <a:noFill/>
        </a:ln>
      </xdr:spPr>
    </xdr:pic>
    <xdr:clientData/>
  </xdr:twoCellAnchor>
  <xdr:twoCellAnchor editAs="oneCell">
    <xdr:from>
      <xdr:col>0</xdr:col>
      <xdr:colOff>238125</xdr:colOff>
      <xdr:row>9</xdr:row>
      <xdr:rowOff>133350</xdr:rowOff>
    </xdr:from>
    <xdr:to>
      <xdr:col>2</xdr:col>
      <xdr:colOff>361950</xdr:colOff>
      <xdr:row>14</xdr:row>
      <xdr:rowOff>114300</xdr:rowOff>
    </xdr:to>
    <xdr:pic>
      <xdr:nvPicPr>
        <xdr:cNvPr id="8" name="Image 7"/>
        <xdr:cNvPicPr preferRelativeResize="1">
          <a:picLocks noChangeAspect="1"/>
        </xdr:cNvPicPr>
      </xdr:nvPicPr>
      <xdr:blipFill>
        <a:blip r:embed="rId1"/>
        <a:stretch>
          <a:fillRect/>
        </a:stretch>
      </xdr:blipFill>
      <xdr:spPr>
        <a:xfrm>
          <a:off x="238125" y="1952625"/>
          <a:ext cx="2085975" cy="819150"/>
        </a:xfrm>
        <a:prstGeom prst="rect">
          <a:avLst/>
        </a:prstGeom>
        <a:solidFill>
          <a:srgbClr val="4F81BD">
            <a:alpha val="0"/>
          </a:srgbClr>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179</xdr:row>
      <xdr:rowOff>142875</xdr:rowOff>
    </xdr:from>
    <xdr:to>
      <xdr:col>2</xdr:col>
      <xdr:colOff>590550</xdr:colOff>
      <xdr:row>185</xdr:row>
      <xdr:rowOff>133350</xdr:rowOff>
    </xdr:to>
    <xdr:pic>
      <xdr:nvPicPr>
        <xdr:cNvPr id="1" name="Image 8"/>
        <xdr:cNvPicPr preferRelativeResize="1">
          <a:picLocks noChangeAspect="1"/>
        </xdr:cNvPicPr>
      </xdr:nvPicPr>
      <xdr:blipFill>
        <a:blip r:embed="rId1"/>
        <a:stretch>
          <a:fillRect/>
        </a:stretch>
      </xdr:blipFill>
      <xdr:spPr>
        <a:xfrm>
          <a:off x="990600" y="30737175"/>
          <a:ext cx="2057400" cy="962025"/>
        </a:xfrm>
        <a:prstGeom prst="rect">
          <a:avLst/>
        </a:prstGeom>
        <a:solidFill>
          <a:srgbClr val="4F81BD">
            <a:alpha val="0"/>
          </a:srgbClr>
        </a:solidFill>
        <a:ln w="9525" cmpd="sng">
          <a:noFill/>
        </a:ln>
      </xdr:spPr>
    </xdr:pic>
    <xdr:clientData/>
  </xdr:twoCellAnchor>
  <xdr:twoCellAnchor editAs="oneCell">
    <xdr:from>
      <xdr:col>4</xdr:col>
      <xdr:colOff>523875</xdr:colOff>
      <xdr:row>5</xdr:row>
      <xdr:rowOff>95250</xdr:rowOff>
    </xdr:from>
    <xdr:to>
      <xdr:col>5</xdr:col>
      <xdr:colOff>1828800</xdr:colOff>
      <xdr:row>16</xdr:row>
      <xdr:rowOff>66675</xdr:rowOff>
    </xdr:to>
    <xdr:pic>
      <xdr:nvPicPr>
        <xdr:cNvPr id="2" name="Image 3"/>
        <xdr:cNvPicPr preferRelativeResize="1">
          <a:picLocks noChangeAspect="1"/>
        </xdr:cNvPicPr>
      </xdr:nvPicPr>
      <xdr:blipFill>
        <a:blip r:embed="rId1"/>
        <a:stretch>
          <a:fillRect/>
        </a:stretch>
      </xdr:blipFill>
      <xdr:spPr>
        <a:xfrm>
          <a:off x="4505325" y="1381125"/>
          <a:ext cx="2066925" cy="2886075"/>
        </a:xfrm>
        <a:prstGeom prst="rect">
          <a:avLst/>
        </a:prstGeom>
        <a:solidFill>
          <a:srgbClr val="4F81BD">
            <a:alpha val="0"/>
          </a:srgbClr>
        </a:solidFill>
        <a:ln w="9525" cmpd="sng">
          <a:noFill/>
        </a:ln>
      </xdr:spPr>
    </xdr:pic>
    <xdr:clientData/>
  </xdr:twoCellAnchor>
  <xdr:twoCellAnchor editAs="oneCell">
    <xdr:from>
      <xdr:col>3</xdr:col>
      <xdr:colOff>19050</xdr:colOff>
      <xdr:row>63</xdr:row>
      <xdr:rowOff>9525</xdr:rowOff>
    </xdr:from>
    <xdr:to>
      <xdr:col>5</xdr:col>
      <xdr:colOff>552450</xdr:colOff>
      <xdr:row>72</xdr:row>
      <xdr:rowOff>9525</xdr:rowOff>
    </xdr:to>
    <xdr:pic>
      <xdr:nvPicPr>
        <xdr:cNvPr id="3" name="Image 4"/>
        <xdr:cNvPicPr preferRelativeResize="1">
          <a:picLocks noChangeAspect="1"/>
        </xdr:cNvPicPr>
      </xdr:nvPicPr>
      <xdr:blipFill>
        <a:blip r:embed="rId1"/>
        <a:stretch>
          <a:fillRect/>
        </a:stretch>
      </xdr:blipFill>
      <xdr:spPr>
        <a:xfrm>
          <a:off x="3238500" y="11820525"/>
          <a:ext cx="2057400" cy="1457325"/>
        </a:xfrm>
        <a:prstGeom prst="rect">
          <a:avLst/>
        </a:prstGeom>
        <a:solidFill>
          <a:srgbClr val="4F81BD">
            <a:alpha val="0"/>
          </a:srgbClr>
        </a:solidFill>
        <a:ln w="9525" cmpd="sng">
          <a:noFill/>
        </a:ln>
      </xdr:spPr>
    </xdr:pic>
    <xdr:clientData/>
  </xdr:twoCellAnchor>
  <xdr:twoCellAnchor editAs="oneCell">
    <xdr:from>
      <xdr:col>3</xdr:col>
      <xdr:colOff>381000</xdr:colOff>
      <xdr:row>90</xdr:row>
      <xdr:rowOff>47625</xdr:rowOff>
    </xdr:from>
    <xdr:to>
      <xdr:col>5</xdr:col>
      <xdr:colOff>923925</xdr:colOff>
      <xdr:row>99</xdr:row>
      <xdr:rowOff>47625</xdr:rowOff>
    </xdr:to>
    <xdr:pic>
      <xdr:nvPicPr>
        <xdr:cNvPr id="4" name="Image 5"/>
        <xdr:cNvPicPr preferRelativeResize="1">
          <a:picLocks noChangeAspect="1"/>
        </xdr:cNvPicPr>
      </xdr:nvPicPr>
      <xdr:blipFill>
        <a:blip r:embed="rId1"/>
        <a:stretch>
          <a:fillRect/>
        </a:stretch>
      </xdr:blipFill>
      <xdr:spPr>
        <a:xfrm>
          <a:off x="3600450" y="16230600"/>
          <a:ext cx="2066925" cy="1457325"/>
        </a:xfrm>
        <a:prstGeom prst="rect">
          <a:avLst/>
        </a:prstGeom>
        <a:solidFill>
          <a:srgbClr val="4F81BD">
            <a:alpha val="0"/>
          </a:srgbClr>
        </a:solidFill>
        <a:ln w="9525" cmpd="sng">
          <a:noFill/>
        </a:ln>
      </xdr:spPr>
    </xdr:pic>
    <xdr:clientData/>
  </xdr:twoCellAnchor>
  <xdr:twoCellAnchor editAs="oneCell">
    <xdr:from>
      <xdr:col>0</xdr:col>
      <xdr:colOff>895350</xdr:colOff>
      <xdr:row>0</xdr:row>
      <xdr:rowOff>0</xdr:rowOff>
    </xdr:from>
    <xdr:to>
      <xdr:col>2</xdr:col>
      <xdr:colOff>495300</xdr:colOff>
      <xdr:row>4</xdr:row>
      <xdr:rowOff>247650</xdr:rowOff>
    </xdr:to>
    <xdr:pic>
      <xdr:nvPicPr>
        <xdr:cNvPr id="5" name="Image 6"/>
        <xdr:cNvPicPr preferRelativeResize="1">
          <a:picLocks noChangeAspect="1"/>
        </xdr:cNvPicPr>
      </xdr:nvPicPr>
      <xdr:blipFill>
        <a:blip r:embed="rId1"/>
        <a:stretch>
          <a:fillRect/>
        </a:stretch>
      </xdr:blipFill>
      <xdr:spPr>
        <a:xfrm>
          <a:off x="895350" y="0"/>
          <a:ext cx="2057400" cy="933450"/>
        </a:xfrm>
        <a:prstGeom prst="rect">
          <a:avLst/>
        </a:prstGeom>
        <a:solidFill>
          <a:srgbClr val="4F81BD"/>
        </a:solidFill>
        <a:ln w="9525" cmpd="sng">
          <a:noFill/>
        </a:ln>
      </xdr:spPr>
    </xdr:pic>
    <xdr:clientData/>
  </xdr:twoCellAnchor>
  <xdr:twoCellAnchor editAs="oneCell">
    <xdr:from>
      <xdr:col>0</xdr:col>
      <xdr:colOff>704850</xdr:colOff>
      <xdr:row>6</xdr:row>
      <xdr:rowOff>57150</xdr:rowOff>
    </xdr:from>
    <xdr:to>
      <xdr:col>2</xdr:col>
      <xdr:colOff>314325</xdr:colOff>
      <xdr:row>8</xdr:row>
      <xdr:rowOff>123825</xdr:rowOff>
    </xdr:to>
    <xdr:pic>
      <xdr:nvPicPr>
        <xdr:cNvPr id="6" name="Image 7"/>
        <xdr:cNvPicPr preferRelativeResize="1">
          <a:picLocks noChangeAspect="1"/>
        </xdr:cNvPicPr>
      </xdr:nvPicPr>
      <xdr:blipFill>
        <a:blip r:embed="rId1"/>
        <a:stretch>
          <a:fillRect/>
        </a:stretch>
      </xdr:blipFill>
      <xdr:spPr>
        <a:xfrm>
          <a:off x="704850" y="1724025"/>
          <a:ext cx="2066925" cy="828675"/>
        </a:xfrm>
        <a:prstGeom prst="rect">
          <a:avLst/>
        </a:prstGeom>
        <a:solidFill>
          <a:srgbClr val="4F81BD">
            <a:alpha val="0"/>
          </a:srgbClr>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0</xdr:row>
      <xdr:rowOff>133350</xdr:rowOff>
    </xdr:from>
    <xdr:to>
      <xdr:col>12</xdr:col>
      <xdr:colOff>428625</xdr:colOff>
      <xdr:row>2</xdr:row>
      <xdr:rowOff>38100</xdr:rowOff>
    </xdr:to>
    <xdr:sp macro="[0]!goHome">
      <xdr:nvSpPr>
        <xdr:cNvPr id="1" name="Rectangle à coins arrondis 1"/>
        <xdr:cNvSpPr>
          <a:spLocks/>
        </xdr:cNvSpPr>
      </xdr:nvSpPr>
      <xdr:spPr>
        <a:xfrm>
          <a:off x="6115050" y="133350"/>
          <a:ext cx="1609725" cy="400050"/>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Accueil</a:t>
          </a:r>
        </a:p>
      </xdr:txBody>
    </xdr:sp>
    <xdr:clientData fPrintsWithSheet="0"/>
  </xdr:twoCellAnchor>
  <xdr:twoCellAnchor>
    <xdr:from>
      <xdr:col>13</xdr:col>
      <xdr:colOff>19050</xdr:colOff>
      <xdr:row>0</xdr:row>
      <xdr:rowOff>152400</xdr:rowOff>
    </xdr:from>
    <xdr:to>
      <xdr:col>15</xdr:col>
      <xdr:colOff>104775</xdr:colOff>
      <xdr:row>2</xdr:row>
      <xdr:rowOff>47625</xdr:rowOff>
    </xdr:to>
    <xdr:sp macro="[0]!goPartieUn">
      <xdr:nvSpPr>
        <xdr:cNvPr id="2" name="Rectangle à coins arrondis 2"/>
        <xdr:cNvSpPr>
          <a:spLocks/>
        </xdr:cNvSpPr>
      </xdr:nvSpPr>
      <xdr:spPr>
        <a:xfrm>
          <a:off x="8077200" y="152400"/>
          <a:ext cx="1609725" cy="390525"/>
        </a:xfrm>
        <a:prstGeom prst="roundRect">
          <a:avLst/>
        </a:prstGeom>
        <a:solidFill>
          <a:srgbClr val="92D050"/>
        </a:solidFill>
        <a:ln w="25400" cmpd="sng">
          <a:solidFill>
            <a:srgbClr val="0D0D0D"/>
          </a:solidFill>
          <a:headEnd type="none"/>
          <a:tailEnd type="none"/>
        </a:ln>
      </xdr:spPr>
      <xdr:txBody>
        <a:bodyPr vertOverflow="clip" wrap="square" anchor="ctr"/>
        <a:p>
          <a:pPr algn="ctr">
            <a:defRPr/>
          </a:pPr>
          <a:r>
            <a:rPr lang="en-US" cap="none" sz="1600" b="1" i="0" u="none" baseline="0">
              <a:solidFill>
                <a:srgbClr val="FFFFFF"/>
              </a:solidFill>
            </a:rPr>
            <a:t>Partie 1</a:t>
          </a:r>
        </a:p>
      </xdr:txBody>
    </xdr:sp>
    <xdr:clientData fPrintsWithSheet="0"/>
  </xdr:twoCellAnchor>
  <xdr:twoCellAnchor editAs="oneCell">
    <xdr:from>
      <xdr:col>0</xdr:col>
      <xdr:colOff>285750</xdr:colOff>
      <xdr:row>186</xdr:row>
      <xdr:rowOff>133350</xdr:rowOff>
    </xdr:from>
    <xdr:to>
      <xdr:col>2</xdr:col>
      <xdr:colOff>295275</xdr:colOff>
      <xdr:row>191</xdr:row>
      <xdr:rowOff>152400</xdr:rowOff>
    </xdr:to>
    <xdr:pic>
      <xdr:nvPicPr>
        <xdr:cNvPr id="3" name="Image 8"/>
        <xdr:cNvPicPr preferRelativeResize="1">
          <a:picLocks noChangeAspect="1"/>
        </xdr:cNvPicPr>
      </xdr:nvPicPr>
      <xdr:blipFill>
        <a:blip r:embed="rId1"/>
        <a:stretch>
          <a:fillRect/>
        </a:stretch>
      </xdr:blipFill>
      <xdr:spPr>
        <a:xfrm>
          <a:off x="285750" y="31518225"/>
          <a:ext cx="1781175" cy="828675"/>
        </a:xfrm>
        <a:prstGeom prst="rect">
          <a:avLst/>
        </a:prstGeom>
        <a:solidFill>
          <a:srgbClr val="4F81BD">
            <a:alpha val="0"/>
          </a:srgbClr>
        </a:solidFill>
        <a:ln w="9525" cmpd="sng">
          <a:noFill/>
        </a:ln>
      </xdr:spPr>
    </xdr:pic>
    <xdr:clientData/>
  </xdr:twoCellAnchor>
  <xdr:twoCellAnchor editAs="oneCell">
    <xdr:from>
      <xdr:col>1</xdr:col>
      <xdr:colOff>733425</xdr:colOff>
      <xdr:row>27</xdr:row>
      <xdr:rowOff>114300</xdr:rowOff>
    </xdr:from>
    <xdr:to>
      <xdr:col>3</xdr:col>
      <xdr:colOff>733425</xdr:colOff>
      <xdr:row>40</xdr:row>
      <xdr:rowOff>152400</xdr:rowOff>
    </xdr:to>
    <xdr:pic>
      <xdr:nvPicPr>
        <xdr:cNvPr id="4" name="Image 3"/>
        <xdr:cNvPicPr preferRelativeResize="1">
          <a:picLocks noChangeAspect="1"/>
        </xdr:cNvPicPr>
      </xdr:nvPicPr>
      <xdr:blipFill>
        <a:blip r:embed="rId1"/>
        <a:stretch>
          <a:fillRect/>
        </a:stretch>
      </xdr:blipFill>
      <xdr:spPr>
        <a:xfrm>
          <a:off x="1619250" y="5324475"/>
          <a:ext cx="1771650" cy="2486025"/>
        </a:xfrm>
        <a:prstGeom prst="rect">
          <a:avLst/>
        </a:prstGeom>
        <a:solidFill>
          <a:srgbClr val="4F81BD">
            <a:alpha val="0"/>
          </a:srgbClr>
        </a:solidFill>
        <a:ln w="9525" cmpd="sng">
          <a:noFill/>
        </a:ln>
      </xdr:spPr>
    </xdr:pic>
    <xdr:clientData/>
  </xdr:twoCellAnchor>
  <xdr:twoCellAnchor editAs="oneCell">
    <xdr:from>
      <xdr:col>2</xdr:col>
      <xdr:colOff>771525</xdr:colOff>
      <xdr:row>70</xdr:row>
      <xdr:rowOff>76200</xdr:rowOff>
    </xdr:from>
    <xdr:to>
      <xdr:col>4</xdr:col>
      <xdr:colOff>781050</xdr:colOff>
      <xdr:row>78</xdr:row>
      <xdr:rowOff>28575</xdr:rowOff>
    </xdr:to>
    <xdr:pic>
      <xdr:nvPicPr>
        <xdr:cNvPr id="5" name="Image 4"/>
        <xdr:cNvPicPr preferRelativeResize="1">
          <a:picLocks noChangeAspect="1"/>
        </xdr:cNvPicPr>
      </xdr:nvPicPr>
      <xdr:blipFill>
        <a:blip r:embed="rId1"/>
        <a:stretch>
          <a:fillRect/>
        </a:stretch>
      </xdr:blipFill>
      <xdr:spPr>
        <a:xfrm>
          <a:off x="2543175" y="12677775"/>
          <a:ext cx="1781175" cy="1247775"/>
        </a:xfrm>
        <a:prstGeom prst="rect">
          <a:avLst/>
        </a:prstGeom>
        <a:solidFill>
          <a:srgbClr val="4F81BD">
            <a:alpha val="0"/>
          </a:srgbClr>
        </a:solidFill>
        <a:ln w="9525" cmpd="sng">
          <a:noFill/>
        </a:ln>
      </xdr:spPr>
    </xdr:pic>
    <xdr:clientData/>
  </xdr:twoCellAnchor>
  <xdr:twoCellAnchor editAs="oneCell">
    <xdr:from>
      <xdr:col>3</xdr:col>
      <xdr:colOff>247650</xdr:colOff>
      <xdr:row>97</xdr:row>
      <xdr:rowOff>114300</xdr:rowOff>
    </xdr:from>
    <xdr:to>
      <xdr:col>5</xdr:col>
      <xdr:colOff>266700</xdr:colOff>
      <xdr:row>105</xdr:row>
      <xdr:rowOff>76200</xdr:rowOff>
    </xdr:to>
    <xdr:pic>
      <xdr:nvPicPr>
        <xdr:cNvPr id="6" name="Image 5"/>
        <xdr:cNvPicPr preferRelativeResize="1">
          <a:picLocks noChangeAspect="1"/>
        </xdr:cNvPicPr>
      </xdr:nvPicPr>
      <xdr:blipFill>
        <a:blip r:embed="rId1"/>
        <a:stretch>
          <a:fillRect/>
        </a:stretch>
      </xdr:blipFill>
      <xdr:spPr>
        <a:xfrm>
          <a:off x="2905125" y="17087850"/>
          <a:ext cx="1790700" cy="1257300"/>
        </a:xfrm>
        <a:prstGeom prst="rect">
          <a:avLst/>
        </a:prstGeom>
        <a:solidFill>
          <a:srgbClr val="4F81BD">
            <a:alpha val="0"/>
          </a:srgbClr>
        </a:solidFill>
        <a:ln w="9525" cmpd="sng">
          <a:noFill/>
        </a:ln>
      </xdr:spPr>
    </xdr:pic>
    <xdr:clientData/>
  </xdr:twoCellAnchor>
  <xdr:twoCellAnchor editAs="oneCell">
    <xdr:from>
      <xdr:col>0</xdr:col>
      <xdr:colOff>190500</xdr:colOff>
      <xdr:row>3</xdr:row>
      <xdr:rowOff>9525</xdr:rowOff>
    </xdr:from>
    <xdr:to>
      <xdr:col>2</xdr:col>
      <xdr:colOff>190500</xdr:colOff>
      <xdr:row>6</xdr:row>
      <xdr:rowOff>142875</xdr:rowOff>
    </xdr:to>
    <xdr:pic>
      <xdr:nvPicPr>
        <xdr:cNvPr id="7" name="Image 6"/>
        <xdr:cNvPicPr preferRelativeResize="1">
          <a:picLocks noChangeAspect="1"/>
        </xdr:cNvPicPr>
      </xdr:nvPicPr>
      <xdr:blipFill>
        <a:blip r:embed="rId1"/>
        <a:stretch>
          <a:fillRect/>
        </a:stretch>
      </xdr:blipFill>
      <xdr:spPr>
        <a:xfrm>
          <a:off x="190500" y="752475"/>
          <a:ext cx="1771650" cy="790575"/>
        </a:xfrm>
        <a:prstGeom prst="rect">
          <a:avLst/>
        </a:prstGeom>
        <a:solidFill>
          <a:srgbClr val="4F81BD"/>
        </a:solidFill>
        <a:ln w="9525" cmpd="sng">
          <a:noFill/>
        </a:ln>
      </xdr:spPr>
    </xdr:pic>
    <xdr:clientData/>
  </xdr:twoCellAnchor>
  <xdr:twoCellAnchor editAs="oneCell">
    <xdr:from>
      <xdr:col>0</xdr:col>
      <xdr:colOff>0</xdr:colOff>
      <xdr:row>11</xdr:row>
      <xdr:rowOff>161925</xdr:rowOff>
    </xdr:from>
    <xdr:to>
      <xdr:col>2</xdr:col>
      <xdr:colOff>19050</xdr:colOff>
      <xdr:row>15</xdr:row>
      <xdr:rowOff>104775</xdr:rowOff>
    </xdr:to>
    <xdr:pic>
      <xdr:nvPicPr>
        <xdr:cNvPr id="8" name="Image 7"/>
        <xdr:cNvPicPr preferRelativeResize="1">
          <a:picLocks noChangeAspect="1"/>
        </xdr:cNvPicPr>
      </xdr:nvPicPr>
      <xdr:blipFill>
        <a:blip r:embed="rId1"/>
        <a:stretch>
          <a:fillRect/>
        </a:stretch>
      </xdr:blipFill>
      <xdr:spPr>
        <a:xfrm>
          <a:off x="0" y="2428875"/>
          <a:ext cx="1790700" cy="704850"/>
        </a:xfrm>
        <a:prstGeom prst="rect">
          <a:avLst/>
        </a:prstGeom>
        <a:solidFill>
          <a:srgbClr val="4F81BD">
            <a:alpha val="0"/>
          </a:srgbClr>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ter\MAISON\Users\jl218282\Downloads\00%20-%20admin\4%20-%20doc%20loc\Simulation_rentabilite_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nvoi%20mail%20avec%20pj%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prunt"/>
      <sheetName val="Feuil1"/>
      <sheetName val="impots"/>
      <sheetName val="Info calculs"/>
      <sheetName val="impots_old"/>
      <sheetName val="Visite"/>
      <sheetName val="TRI"/>
      <sheetName val="Visit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isie"/>
      <sheetName val="Param"/>
      <sheetName val="Liste"/>
    </sheetNames>
    <sheetDataSet>
      <sheetData sheetId="2">
        <row r="2">
          <cell r="A2">
            <v>1</v>
          </cell>
          <cell r="B2" t="str">
            <v>Mr</v>
          </cell>
          <cell r="C2" t="str">
            <v>DEMO</v>
          </cell>
          <cell r="D2" t="str">
            <v>Justin</v>
          </cell>
          <cell r="E2" t="str">
            <v>07.20.36.45.36</v>
          </cell>
          <cell r="F2" t="str">
            <v>justin@lautomatiseur.fr</v>
          </cell>
        </row>
        <row r="3">
          <cell r="A3">
            <v>2</v>
          </cell>
          <cell r="B3" t="str">
            <v>Mme</v>
          </cell>
          <cell r="C3" t="str">
            <v>Lautomatiseuse</v>
          </cell>
          <cell r="D3" t="str">
            <v>Justin</v>
          </cell>
          <cell r="E3" t="str">
            <v>07.20.36.45.37</v>
          </cell>
          <cell r="F3" t="str">
            <v>demo@lautomatiseur.fr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lautomatiseur.fr" TargetMode="External" /><Relationship Id="rId2" Type="http://schemas.openxmlformats.org/officeDocument/2006/relationships/hyperlink" Target="mailto:justin@lautomatiseur.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dimension ref="A1:D8"/>
  <sheetViews>
    <sheetView zoomScale="90" zoomScaleNormal="90" zoomScalePageLayoutView="0" workbookViewId="0" topLeftCell="A1">
      <pane ySplit="10" topLeftCell="A11" activePane="bottomLeft" state="frozen"/>
      <selection pane="topLeft" activeCell="A1" sqref="A1"/>
      <selection pane="bottomLeft" activeCell="C5" sqref="C5"/>
    </sheetView>
  </sheetViews>
  <sheetFormatPr defaultColWidth="11.421875" defaultRowHeight="12.75"/>
  <cols>
    <col min="1" max="1" width="46.57421875" style="70" customWidth="1"/>
    <col min="2" max="2" width="52.421875" style="70" customWidth="1"/>
    <col min="3" max="3" width="21.57421875" style="70" customWidth="1"/>
    <col min="4" max="16384" width="11.421875" style="70" customWidth="1"/>
  </cols>
  <sheetData>
    <row r="1" spans="1:2" ht="30">
      <c r="A1" s="164" t="s">
        <v>228</v>
      </c>
      <c r="B1" s="191" t="s">
        <v>214</v>
      </c>
    </row>
    <row r="2" spans="1:2" ht="30">
      <c r="A2" s="165" t="s">
        <v>229</v>
      </c>
      <c r="B2" s="192">
        <v>465</v>
      </c>
    </row>
    <row r="3" spans="1:2" ht="30">
      <c r="A3" s="165" t="s">
        <v>213</v>
      </c>
      <c r="B3" s="254" t="s">
        <v>262</v>
      </c>
    </row>
    <row r="4" spans="1:4" ht="30">
      <c r="A4" s="165" t="s">
        <v>212</v>
      </c>
      <c r="B4" s="227"/>
      <c r="C4" s="70" t="s">
        <v>211</v>
      </c>
      <c r="D4" s="155"/>
    </row>
    <row r="5" spans="1:2" ht="30" thickBot="1">
      <c r="A5" s="166" t="s">
        <v>210</v>
      </c>
      <c r="B5" s="194" t="s">
        <v>281</v>
      </c>
    </row>
    <row r="6" ht="23.25" customHeight="1"/>
    <row r="7" ht="12.75">
      <c r="B7" s="282" t="str">
        <f>IF(_xlfn.COUNTIFS(B1:B3,"")&gt;0,"Paramètres manquants","Paramètres OK")</f>
        <v>Paramètres OK</v>
      </c>
    </row>
    <row r="8" ht="12.75">
      <c r="B8" s="282"/>
    </row>
  </sheetData>
  <sheetProtection/>
  <mergeCells count="1">
    <mergeCell ref="B7:B8"/>
  </mergeCells>
  <conditionalFormatting sqref="B7:B8">
    <cfRule type="cellIs" priority="1" dxfId="6" operator="equal" stopIfTrue="1">
      <formula>"Paramètres manquants"</formula>
    </cfRule>
  </conditionalFormatting>
  <hyperlinks>
    <hyperlink ref="B5" r:id="rId1" display="support@lautomatiseur.fr"/>
    <hyperlink ref="B3" r:id="rId2" display="justin@lautomatiseur.fr"/>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Feuil9">
    <pageSetUpPr fitToPage="1"/>
  </sheetPr>
  <dimension ref="A1:F25"/>
  <sheetViews>
    <sheetView zoomScalePageLayoutView="0" workbookViewId="0" topLeftCell="A1">
      <selection activeCell="F36" sqref="F36"/>
    </sheetView>
  </sheetViews>
  <sheetFormatPr defaultColWidth="11.421875" defaultRowHeight="12.75"/>
  <cols>
    <col min="1" max="1" width="25.421875" style="0" customWidth="1"/>
    <col min="6" max="6" width="34.421875" style="0" customWidth="1"/>
  </cols>
  <sheetData>
    <row r="1" spans="1:6" ht="15.75" customHeight="1">
      <c r="A1" s="357"/>
      <c r="B1" s="358" t="s">
        <v>54</v>
      </c>
      <c r="C1" s="358" t="s">
        <v>55</v>
      </c>
      <c r="D1" s="358" t="s">
        <v>56</v>
      </c>
      <c r="E1" s="358" t="s">
        <v>57</v>
      </c>
      <c r="F1" s="356" t="s">
        <v>58</v>
      </c>
    </row>
    <row r="2" spans="1:6" ht="12.75">
      <c r="A2" s="357"/>
      <c r="B2" s="358"/>
      <c r="C2" s="358"/>
      <c r="D2" s="358"/>
      <c r="E2" s="358"/>
      <c r="F2" s="356"/>
    </row>
    <row r="3" spans="1:6" ht="12.75">
      <c r="A3" s="357"/>
      <c r="B3" s="358"/>
      <c r="C3" s="358"/>
      <c r="D3" s="358"/>
      <c r="E3" s="358"/>
      <c r="F3" s="356"/>
    </row>
    <row r="4" spans="1:6" ht="12.75">
      <c r="A4" s="357"/>
      <c r="B4" s="358"/>
      <c r="C4" s="358"/>
      <c r="D4" s="358"/>
      <c r="E4" s="358"/>
      <c r="F4" s="356"/>
    </row>
    <row r="5" spans="1:6" ht="47.25" customHeight="1">
      <c r="A5" s="357"/>
      <c r="B5" s="358"/>
      <c r="C5" s="358"/>
      <c r="D5" s="358"/>
      <c r="E5" s="358"/>
      <c r="F5" s="356"/>
    </row>
    <row r="6" spans="1:6" ht="30" customHeight="1">
      <c r="A6" s="278" t="s">
        <v>324</v>
      </c>
      <c r="B6" s="234"/>
      <c r="C6" s="32"/>
      <c r="D6" s="32"/>
      <c r="E6" s="32"/>
      <c r="F6" s="32"/>
    </row>
    <row r="7" spans="1:6" ht="30" customHeight="1">
      <c r="A7" s="278" t="s">
        <v>325</v>
      </c>
      <c r="B7" s="234"/>
      <c r="C7" s="32"/>
      <c r="D7" s="32"/>
      <c r="E7" s="32"/>
      <c r="F7" s="32"/>
    </row>
    <row r="8" spans="1:6" ht="30" customHeight="1">
      <c r="A8" s="278" t="s">
        <v>326</v>
      </c>
      <c r="B8" s="234"/>
      <c r="C8" s="32"/>
      <c r="D8" s="32"/>
      <c r="E8" s="32"/>
      <c r="F8" s="32"/>
    </row>
    <row r="9" spans="1:6" ht="30" customHeight="1">
      <c r="A9" s="278" t="s">
        <v>327</v>
      </c>
      <c r="B9" s="234"/>
      <c r="C9" s="32"/>
      <c r="D9" s="32"/>
      <c r="E9" s="32"/>
      <c r="F9" s="32"/>
    </row>
    <row r="10" spans="1:6" ht="15">
      <c r="A10" s="353" t="s">
        <v>64</v>
      </c>
      <c r="B10" s="354"/>
      <c r="C10" s="354"/>
      <c r="D10" s="354"/>
      <c r="E10" s="354"/>
      <c r="F10" s="355"/>
    </row>
    <row r="11" spans="1:6" ht="12.75">
      <c r="A11" s="28"/>
      <c r="F11" s="24"/>
    </row>
    <row r="12" spans="1:6" ht="12.75">
      <c r="A12" s="28"/>
      <c r="F12" s="24"/>
    </row>
    <row r="13" spans="1:6" ht="12.75">
      <c r="A13" s="28"/>
      <c r="F13" s="24"/>
    </row>
    <row r="14" spans="1:6" ht="12.75">
      <c r="A14" s="28"/>
      <c r="F14" s="24"/>
    </row>
    <row r="15" spans="1:6" ht="12.75">
      <c r="A15" s="28"/>
      <c r="F15" s="24"/>
    </row>
    <row r="16" spans="1:6" ht="12.75">
      <c r="A16" s="28"/>
      <c r="F16" s="24"/>
    </row>
    <row r="17" spans="1:6" ht="12.75">
      <c r="A17" s="28"/>
      <c r="F17" s="24"/>
    </row>
    <row r="18" spans="1:6" ht="12.75">
      <c r="A18" s="28"/>
      <c r="F18" s="24"/>
    </row>
    <row r="19" spans="1:6" ht="12.75">
      <c r="A19" s="28"/>
      <c r="F19" s="24"/>
    </row>
    <row r="20" spans="1:6" ht="12.75">
      <c r="A20" s="28"/>
      <c r="F20" s="24"/>
    </row>
    <row r="21" spans="1:6" ht="12.75">
      <c r="A21" s="28"/>
      <c r="F21" s="24"/>
    </row>
    <row r="22" spans="1:6" ht="12.75">
      <c r="A22" s="28"/>
      <c r="F22" s="24"/>
    </row>
    <row r="23" spans="1:6" ht="12.75">
      <c r="A23" s="28"/>
      <c r="F23" s="24"/>
    </row>
    <row r="24" spans="1:6" ht="12.75">
      <c r="A24" s="28"/>
      <c r="F24" s="24"/>
    </row>
    <row r="25" spans="1:6" ht="12.75">
      <c r="A25" s="29"/>
      <c r="B25" s="30"/>
      <c r="C25" s="30"/>
      <c r="D25" s="30"/>
      <c r="E25" s="30"/>
      <c r="F25" s="31"/>
    </row>
  </sheetData>
  <sheetProtection/>
  <mergeCells count="7">
    <mergeCell ref="A10:F10"/>
    <mergeCell ref="A1:A5"/>
    <mergeCell ref="B1:B5"/>
    <mergeCell ref="C1:C5"/>
    <mergeCell ref="D1:D5"/>
    <mergeCell ref="E1:E5"/>
    <mergeCell ref="F1:F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Feuil8">
    <pageSetUpPr fitToPage="1"/>
  </sheetPr>
  <dimension ref="A1:V168"/>
  <sheetViews>
    <sheetView zoomScale="90" zoomScaleNormal="90" zoomScalePageLayoutView="0" workbookViewId="0" topLeftCell="A1">
      <pane ySplit="1" topLeftCell="A11" activePane="bottomLeft" state="frozen"/>
      <selection pane="topLeft" activeCell="A1" sqref="A1"/>
      <selection pane="bottomLeft" activeCell="H25" sqref="H25"/>
    </sheetView>
  </sheetViews>
  <sheetFormatPr defaultColWidth="11.421875" defaultRowHeight="12.75"/>
  <cols>
    <col min="1" max="1" width="14.7109375" style="3" customWidth="1"/>
    <col min="2" max="2" width="20.28125" style="3" customWidth="1"/>
    <col min="3" max="3" width="17.8515625" style="3" customWidth="1"/>
    <col min="4" max="4" width="19.140625" style="3" customWidth="1"/>
    <col min="5" max="5" width="14.7109375" style="3" customWidth="1"/>
    <col min="6" max="6" width="25.140625" style="3" customWidth="1"/>
    <col min="7" max="7" width="3.57421875" style="180" customWidth="1"/>
    <col min="8" max="8" width="21.140625" style="180" customWidth="1"/>
    <col min="9" max="9" width="18.8515625" style="180" customWidth="1"/>
    <col min="10" max="11" width="11.421875" style="180" customWidth="1"/>
    <col min="12" max="12" width="8.57421875" style="180" customWidth="1"/>
    <col min="13" max="13" width="20.421875" style="180" customWidth="1"/>
    <col min="14" max="14" width="2.7109375" style="180" customWidth="1"/>
    <col min="15" max="18" width="11.421875" style="180" customWidth="1"/>
    <col min="19" max="19" width="23.28125" style="180" customWidth="1"/>
    <col min="20" max="20" width="31.28125" style="180" customWidth="1"/>
    <col min="21" max="22" width="11.421875" style="180" customWidth="1"/>
    <col min="23" max="16384" width="11.421875" style="3" customWidth="1"/>
  </cols>
  <sheetData>
    <row r="1" spans="1:7" ht="45" customHeight="1">
      <c r="A1" s="424" t="str">
        <f>UPPER(CONCATENATE("Contrat de ",Saisie!C17))</f>
        <v>CONTRAT DE LOCATION VIDE</v>
      </c>
      <c r="B1" s="425"/>
      <c r="C1" s="425"/>
      <c r="D1" s="425"/>
      <c r="E1" s="425"/>
      <c r="F1" s="425"/>
      <c r="G1" s="179"/>
    </row>
    <row r="2" spans="1:7" ht="21.75" customHeight="1">
      <c r="A2" s="118"/>
      <c r="B2" s="119"/>
      <c r="C2" s="120"/>
      <c r="D2" s="119"/>
      <c r="E2" s="121"/>
      <c r="G2" s="179"/>
    </row>
    <row r="3" spans="1:7" ht="32.25" customHeight="1">
      <c r="A3" s="434" t="s">
        <v>78</v>
      </c>
      <c r="B3" s="435"/>
      <c r="C3" s="435"/>
      <c r="D3" s="435"/>
      <c r="E3" s="435"/>
      <c r="F3" s="435"/>
      <c r="G3" s="179"/>
    </row>
    <row r="4" spans="1:6" ht="12.75">
      <c r="A4" s="435"/>
      <c r="B4" s="435"/>
      <c r="C4" s="435"/>
      <c r="D4" s="435"/>
      <c r="E4" s="435"/>
      <c r="F4" s="435"/>
    </row>
    <row r="5" spans="1:6" ht="21">
      <c r="A5" s="122" t="s">
        <v>79</v>
      </c>
      <c r="B5" s="123"/>
      <c r="C5" s="123"/>
      <c r="D5" s="123"/>
      <c r="E5" s="123"/>
      <c r="F5" s="123"/>
    </row>
    <row r="6" spans="1:6" ht="13.5">
      <c r="A6" s="124" t="s">
        <v>80</v>
      </c>
      <c r="B6" s="124"/>
      <c r="C6" s="123"/>
      <c r="D6" s="123"/>
      <c r="E6" s="123"/>
      <c r="F6" s="123"/>
    </row>
    <row r="8" spans="1:6" ht="21" customHeight="1">
      <c r="A8" s="125" t="s">
        <v>81</v>
      </c>
      <c r="B8" s="126"/>
      <c r="C8" s="126"/>
      <c r="D8" s="126"/>
      <c r="E8" s="126"/>
      <c r="F8" s="126"/>
    </row>
    <row r="9" ht="12.75"/>
    <row r="10" spans="1:6" ht="15">
      <c r="A10" s="426" t="s">
        <v>48</v>
      </c>
      <c r="B10" s="427"/>
      <c r="C10" s="428" t="str">
        <f>_xlfn.IFERROR(CONCATENATE(Saisie!C3," ",Saisie!C4," ",Saisie!C5),"")</f>
        <v>Mr et Mme GERENTON Anne</v>
      </c>
      <c r="D10" s="429"/>
      <c r="E10" s="429"/>
      <c r="F10" s="430"/>
    </row>
    <row r="11" spans="1:6" ht="15">
      <c r="A11" s="426" t="s">
        <v>49</v>
      </c>
      <c r="B11" s="427"/>
      <c r="C11" s="428" t="str">
        <f>_xlfn.IFERROR(Saisie!C12,"")</f>
        <v>25 RUE DE LA REPUBLIQUE 75014 PARIS</v>
      </c>
      <c r="D11" s="429"/>
      <c r="E11" s="429"/>
      <c r="F11" s="430"/>
    </row>
    <row r="12" spans="1:6" ht="15">
      <c r="A12" s="426" t="s">
        <v>50</v>
      </c>
      <c r="B12" s="427"/>
      <c r="C12" s="428">
        <f>_xlfn.IFERROR(Saisie!C13,"")</f>
        <v>0</v>
      </c>
      <c r="D12" s="429"/>
      <c r="E12" s="429"/>
      <c r="F12" s="430"/>
    </row>
    <row r="13" spans="1:6" ht="15">
      <c r="A13" s="426" t="s">
        <v>51</v>
      </c>
      <c r="B13" s="427"/>
      <c r="C13" s="428" t="str">
        <f>Saisie!C11</f>
        <v>justin@lautomatiseur.fr</v>
      </c>
      <c r="D13" s="429"/>
      <c r="E13" s="429"/>
      <c r="F13" s="430"/>
    </row>
    <row r="14" spans="1:2" ht="12.75">
      <c r="A14" s="121"/>
      <c r="B14" s="121"/>
    </row>
    <row r="15" spans="1:3" ht="13.5">
      <c r="A15" s="436" t="s">
        <v>82</v>
      </c>
      <c r="B15" s="436"/>
      <c r="C15" s="436"/>
    </row>
    <row r="16" spans="1:3" ht="13.5">
      <c r="A16" s="127"/>
      <c r="B16" s="127"/>
      <c r="C16" s="127"/>
    </row>
    <row r="17" spans="1:6" ht="22.5" customHeight="1">
      <c r="A17" s="125" t="str">
        <f>IF(Saisie!C17="Colocation Meublée","LE COLOCATAIRE","LE LOCATAIRE")</f>
        <v>LE LOCATAIRE</v>
      </c>
      <c r="B17" s="126"/>
      <c r="C17" s="126"/>
      <c r="D17" s="126"/>
      <c r="E17" s="126"/>
      <c r="F17" s="126"/>
    </row>
    <row r="18" ht="12.75"/>
    <row r="19" spans="1:6" ht="30" customHeight="1">
      <c r="A19" s="426" t="s">
        <v>48</v>
      </c>
      <c r="B19" s="427"/>
      <c r="C19" s="431" t="str">
        <f>CONCATENATE(Saisie!I3," ",Saisie!I4," ",Saisie!I5)</f>
        <v>Mr et Mme THOMAS Anne</v>
      </c>
      <c r="D19" s="432"/>
      <c r="E19" s="432"/>
      <c r="F19" s="433"/>
    </row>
    <row r="20" spans="1:6" ht="15">
      <c r="A20" s="426" t="s">
        <v>50</v>
      </c>
      <c r="B20" s="427"/>
      <c r="C20" s="428" t="str">
        <f>_xlfn.IFERROR(Saisie!I7,"")</f>
        <v> </v>
      </c>
      <c r="D20" s="429"/>
      <c r="E20" s="429"/>
      <c r="F20" s="430"/>
    </row>
    <row r="21" spans="1:6" ht="15">
      <c r="A21" s="426" t="s">
        <v>51</v>
      </c>
      <c r="B21" s="427"/>
      <c r="C21" s="428" t="str">
        <f>_xlfn.IFERROR(Saisie!I6,"")</f>
        <v>justin@lautomatiseur.fr</v>
      </c>
      <c r="D21" s="429"/>
      <c r="E21" s="429"/>
      <c r="F21" s="430"/>
    </row>
    <row r="23" spans="1:20" ht="13.5">
      <c r="A23" s="385" t="s">
        <v>189</v>
      </c>
      <c r="B23" s="386"/>
      <c r="C23" s="387" t="str">
        <f>IF(Saisie!C17="Colocation Meublée",H23,O23)</f>
        <v> « le locataire »</v>
      </c>
      <c r="D23" s="387"/>
      <c r="H23" s="384" t="s">
        <v>218</v>
      </c>
      <c r="I23" s="384"/>
      <c r="J23" s="384"/>
      <c r="K23" s="384"/>
      <c r="L23" s="384"/>
      <c r="M23" s="384"/>
      <c r="O23" s="384" t="s">
        <v>219</v>
      </c>
      <c r="P23" s="384"/>
      <c r="Q23" s="384"/>
      <c r="R23" s="384"/>
      <c r="S23" s="384"/>
      <c r="T23" s="384"/>
    </row>
    <row r="25" ht="21">
      <c r="A25" s="122" t="s">
        <v>83</v>
      </c>
    </row>
    <row r="26" spans="1:6" ht="34.5" customHeight="1">
      <c r="A26" s="417" t="str">
        <f>IF(Saisie!C17="Colocation Meublée","Le présent contrat a pour objet la location d'une chambre faisant partie d’un logement décrit ci-dessous : ","Le présent contrat a pour objet la location d’un logement décrit ci-dessous : ")</f>
        <v>Le présent contrat a pour objet la location d’un logement décrit ci-dessous : </v>
      </c>
      <c r="B26" s="417"/>
      <c r="C26" s="417"/>
      <c r="D26" s="417"/>
      <c r="E26" s="417"/>
      <c r="F26" s="417"/>
    </row>
    <row r="28" spans="1:6" ht="22.5" customHeight="1">
      <c r="A28" s="125" t="s">
        <v>84</v>
      </c>
      <c r="B28" s="126"/>
      <c r="C28" s="126"/>
      <c r="D28" s="126"/>
      <c r="E28" s="126"/>
      <c r="F28" s="126"/>
    </row>
    <row r="29" ht="12.75"/>
    <row r="30" spans="1:6" ht="15">
      <c r="A30" s="396" t="s">
        <v>7</v>
      </c>
      <c r="B30" s="397"/>
      <c r="C30" s="390">
        <f>_xlfn.IFERROR(Saisie!F7,"")</f>
        <v>25</v>
      </c>
      <c r="D30" s="390"/>
      <c r="E30" s="390"/>
      <c r="F30" s="390"/>
    </row>
    <row r="31" spans="1:6" ht="15">
      <c r="A31" s="396" t="s">
        <v>9</v>
      </c>
      <c r="B31" s="397"/>
      <c r="C31" s="390" t="str">
        <f>_xlfn.IFERROR(Saisie!F8,"")</f>
        <v>Rue</v>
      </c>
      <c r="D31" s="390"/>
      <c r="E31" s="390"/>
      <c r="F31" s="390"/>
    </row>
    <row r="32" spans="1:6" ht="15">
      <c r="A32" s="396" t="s">
        <v>8</v>
      </c>
      <c r="B32" s="397"/>
      <c r="C32" s="390" t="str">
        <f>_xlfn.IFERROR(Saisie!F9,"")</f>
        <v>de Paris</v>
      </c>
      <c r="D32" s="390"/>
      <c r="E32" s="390"/>
      <c r="F32" s="390"/>
    </row>
    <row r="33" spans="1:6" ht="15">
      <c r="A33" s="396" t="s">
        <v>33</v>
      </c>
      <c r="B33" s="397"/>
      <c r="C33" s="390" t="str">
        <f>_xlfn.IFERROR(Saisie!F10,"")</f>
        <v>-</v>
      </c>
      <c r="D33" s="390"/>
      <c r="E33" s="390"/>
      <c r="F33" s="390"/>
    </row>
    <row r="34" spans="1:6" ht="15">
      <c r="A34" s="396" t="s">
        <v>2</v>
      </c>
      <c r="B34" s="397"/>
      <c r="C34" s="390" t="str">
        <f>_xlfn.IFERROR(Saisie!F11,"")</f>
        <v>Paris</v>
      </c>
      <c r="D34" s="390"/>
      <c r="E34" s="390"/>
      <c r="F34" s="390"/>
    </row>
    <row r="35" spans="1:6" ht="15">
      <c r="A35" s="396" t="s">
        <v>59</v>
      </c>
      <c r="B35" s="397"/>
      <c r="C35" s="390" t="str">
        <f>_xlfn.IFERROR(Saisie!F12,"")</f>
        <v>06000</v>
      </c>
      <c r="D35" s="390"/>
      <c r="E35" s="390"/>
      <c r="F35" s="390"/>
    </row>
    <row r="36" spans="1:6" ht="15">
      <c r="A36" s="396" t="s">
        <v>34</v>
      </c>
      <c r="B36" s="397"/>
      <c r="C36" s="390" t="str">
        <f>_xlfn.IFERROR(Saisie!F13,"")</f>
        <v>1er</v>
      </c>
      <c r="D36" s="390"/>
      <c r="E36" s="390"/>
      <c r="F36" s="390"/>
    </row>
    <row r="37" spans="1:6" ht="15">
      <c r="A37" s="396" t="s">
        <v>35</v>
      </c>
      <c r="B37" s="397"/>
      <c r="C37" s="390" t="str">
        <f>_xlfn.IFERROR(Saisie!F14,"")</f>
        <v>C</v>
      </c>
      <c r="D37" s="390"/>
      <c r="E37" s="390"/>
      <c r="F37" s="390"/>
    </row>
    <row r="38" spans="1:6" ht="15">
      <c r="A38" s="396" t="s">
        <v>22</v>
      </c>
      <c r="B38" s="397"/>
      <c r="C38" s="390" t="str">
        <f>_xlfn.IFERROR(Saisie!F15,"")</f>
        <v>Collectif (appartement)</v>
      </c>
      <c r="D38" s="390"/>
      <c r="E38" s="390"/>
      <c r="F38" s="390"/>
    </row>
    <row r="39" spans="1:6" ht="15">
      <c r="A39" s="396" t="s">
        <v>28</v>
      </c>
      <c r="B39" s="397"/>
      <c r="C39" s="390" t="str">
        <f>_xlfn.IFERROR(Saisie!F16,"")</f>
        <v>Copropriété</v>
      </c>
      <c r="D39" s="390"/>
      <c r="E39" s="390"/>
      <c r="F39" s="390"/>
    </row>
    <row r="40" spans="1:6" ht="15">
      <c r="A40" s="396" t="s">
        <v>23</v>
      </c>
      <c r="B40" s="397"/>
      <c r="C40" s="390" t="str">
        <f>_xlfn.IFERROR(Saisie!F17,"")</f>
        <v>1970 à 1989</v>
      </c>
      <c r="D40" s="390"/>
      <c r="E40" s="390"/>
      <c r="F40" s="390"/>
    </row>
    <row r="41" spans="1:6" ht="15">
      <c r="A41" s="396" t="s">
        <v>24</v>
      </c>
      <c r="B41" s="397"/>
      <c r="C41" s="390" t="str">
        <f>_xlfn.IFERROR(Saisie!F18,"")</f>
        <v>65M²</v>
      </c>
      <c r="D41" s="390"/>
      <c r="E41" s="390"/>
      <c r="F41" s="390"/>
    </row>
    <row r="42" spans="1:6" ht="15">
      <c r="A42" s="396" t="s">
        <v>25</v>
      </c>
      <c r="B42" s="397"/>
      <c r="C42" s="390">
        <f>_xlfn.IFERROR(Saisie!F19,"")</f>
        <v>3</v>
      </c>
      <c r="D42" s="390"/>
      <c r="E42" s="390"/>
      <c r="F42" s="390"/>
    </row>
    <row r="43" spans="1:6" ht="15">
      <c r="A43" s="396" t="s">
        <v>26</v>
      </c>
      <c r="B43" s="397"/>
      <c r="C43" s="390" t="str">
        <f>_xlfn.IFERROR(Saisie!F25,"")</f>
        <v>Collectif</v>
      </c>
      <c r="D43" s="390"/>
      <c r="E43" s="390"/>
      <c r="F43" s="390"/>
    </row>
    <row r="44" spans="1:6" ht="15">
      <c r="A44" s="396" t="s">
        <v>27</v>
      </c>
      <c r="B44" s="397"/>
      <c r="C44" s="390" t="str">
        <f>_xlfn.IFERROR(Saisie!F26,"")</f>
        <v>Collectif</v>
      </c>
      <c r="D44" s="390"/>
      <c r="E44" s="390"/>
      <c r="F44" s="390"/>
    </row>
    <row r="46" spans="1:2" ht="12.75">
      <c r="A46" s="387" t="s">
        <v>85</v>
      </c>
      <c r="B46" s="387"/>
    </row>
    <row r="48" spans="1:6" ht="13.5">
      <c r="A48" s="398" t="s">
        <v>190</v>
      </c>
      <c r="B48" s="398"/>
      <c r="C48" s="398"/>
      <c r="D48" s="398"/>
      <c r="E48" s="398"/>
      <c r="F48" s="398"/>
    </row>
    <row r="49" spans="1:13" ht="27" customHeight="1">
      <c r="A49" s="389" t="str">
        <f>H49</f>
        <v>chambres meublées, cuisine équipée (vaisselle et électroménager), séjour meublé et équipé (canapé, TV, internet)  </v>
      </c>
      <c r="B49" s="389"/>
      <c r="C49" s="389"/>
      <c r="D49" s="389"/>
      <c r="E49" s="389"/>
      <c r="F49" s="389"/>
      <c r="H49" s="388" t="s">
        <v>191</v>
      </c>
      <c r="I49" s="388"/>
      <c r="J49" s="388"/>
      <c r="K49" s="388"/>
      <c r="L49" s="388"/>
      <c r="M49" s="388"/>
    </row>
    <row r="51" spans="1:6" ht="22.5" customHeight="1">
      <c r="A51" s="125" t="s">
        <v>86</v>
      </c>
      <c r="B51" s="126"/>
      <c r="C51" s="126"/>
      <c r="D51" s="126"/>
      <c r="E51" s="126"/>
      <c r="F51" s="126"/>
    </row>
    <row r="53" spans="1:6" ht="12.75">
      <c r="A53" s="401" t="s">
        <v>94</v>
      </c>
      <c r="B53" s="401"/>
      <c r="D53" s="144" t="s">
        <v>95</v>
      </c>
      <c r="E53" s="50"/>
      <c r="F53" s="128"/>
    </row>
    <row r="55" spans="1:6" ht="39" customHeight="1">
      <c r="A55" s="393" t="str">
        <f>IF(Saisie!C17="Colocation Meublée","C. DÉSIGNATION DES LOCAUX ET ÉQUIPEMENTS ACCESSOIRES DE L'IMMEUBLE À USAGE PRIVATIF DES COLOCATAIRES","C. DÉSIGNATION DES LOCAUX ET ÉQUIPEMENTS ACCESSOIRES DE L'IMMEUBLE À USAGE PRIVATIF DU LOCATAIRE")</f>
        <v>C. DÉSIGNATION DES LOCAUX ET ÉQUIPEMENTS ACCESSOIRES DE L'IMMEUBLE À USAGE PRIVATIF DU LOCATAIRE</v>
      </c>
      <c r="B55" s="393"/>
      <c r="C55" s="393"/>
      <c r="D55" s="393"/>
      <c r="E55" s="393"/>
      <c r="F55" s="393"/>
    </row>
    <row r="57" ht="12.75">
      <c r="A57" s="50" t="str">
        <f>Saisie!E35</f>
        <v>Néant</v>
      </c>
    </row>
    <row r="59" spans="1:6" ht="39" customHeight="1">
      <c r="A59" s="393" t="s">
        <v>93</v>
      </c>
      <c r="B59" s="393"/>
      <c r="C59" s="393"/>
      <c r="D59" s="393"/>
      <c r="E59" s="393"/>
      <c r="F59" s="393"/>
    </row>
    <row r="61" spans="1:6" ht="12.75">
      <c r="A61" s="408" t="s">
        <v>88</v>
      </c>
      <c r="B61" s="409"/>
      <c r="C61" s="129"/>
      <c r="D61" s="130" t="s">
        <v>90</v>
      </c>
      <c r="E61" s="129"/>
      <c r="F61" s="149" t="s">
        <v>96</v>
      </c>
    </row>
    <row r="62" spans="1:6" ht="12.75" customHeight="1">
      <c r="A62" s="399" t="s">
        <v>87</v>
      </c>
      <c r="B62" s="400"/>
      <c r="C62" s="129"/>
      <c r="D62" s="149" t="s">
        <v>91</v>
      </c>
      <c r="E62" s="129"/>
      <c r="F62" s="149" t="s">
        <v>97</v>
      </c>
    </row>
    <row r="63" spans="1:6" ht="12.75">
      <c r="A63" s="399" t="s">
        <v>89</v>
      </c>
      <c r="B63" s="400"/>
      <c r="C63" s="129"/>
      <c r="D63" s="131" t="s">
        <v>92</v>
      </c>
      <c r="E63" s="129"/>
      <c r="F63" s="129"/>
    </row>
    <row r="65" spans="1:6" ht="33.75" customHeight="1">
      <c r="A65" s="393" t="s">
        <v>99</v>
      </c>
      <c r="B65" s="393"/>
      <c r="C65" s="393"/>
      <c r="D65" s="393"/>
      <c r="E65" s="393"/>
      <c r="F65" s="393"/>
    </row>
    <row r="66" spans="1:13" ht="12.75">
      <c r="A66" s="3" t="str">
        <f>IF(H66&lt;&gt;0,H66,"")</f>
        <v>Réception TV par antenne hertzienne « type râteau »</v>
      </c>
      <c r="H66" s="392" t="s">
        <v>100</v>
      </c>
      <c r="I66" s="392"/>
      <c r="J66" s="392"/>
      <c r="K66" s="392"/>
      <c r="L66" s="392"/>
      <c r="M66" s="392"/>
    </row>
    <row r="67" spans="1:13" ht="12.75">
      <c r="A67" s="3" t="str">
        <f>IF(H67&lt;&gt;0,H67,"")</f>
        <v>Connexion Internet</v>
      </c>
      <c r="H67" s="392" t="s">
        <v>101</v>
      </c>
      <c r="I67" s="392"/>
      <c r="J67" s="392"/>
      <c r="K67" s="392"/>
      <c r="L67" s="392"/>
      <c r="M67" s="392"/>
    </row>
    <row r="68" spans="1:13" ht="12.75">
      <c r="A68" s="3">
        <f>IF(H68&lt;&gt;0,H68,"")</f>
      </c>
      <c r="H68" s="392"/>
      <c r="I68" s="392"/>
      <c r="J68" s="392"/>
      <c r="K68" s="392"/>
      <c r="L68" s="392"/>
      <c r="M68" s="392"/>
    </row>
    <row r="69" spans="1:13" ht="12.75">
      <c r="A69" s="3">
        <f>IF(H69&lt;&gt;0,H69,"")</f>
      </c>
      <c r="H69" s="392"/>
      <c r="I69" s="392"/>
      <c r="J69" s="392"/>
      <c r="K69" s="392"/>
      <c r="L69" s="392"/>
      <c r="M69" s="392"/>
    </row>
    <row r="70" ht="21">
      <c r="A70" s="122" t="s">
        <v>102</v>
      </c>
    </row>
    <row r="71" ht="12.75">
      <c r="A71" s="50" t="s">
        <v>104</v>
      </c>
    </row>
    <row r="72" ht="12.75"/>
    <row r="73" spans="1:6" ht="22.5" customHeight="1">
      <c r="A73" s="125" t="s">
        <v>103</v>
      </c>
      <c r="B73" s="126"/>
      <c r="C73" s="126"/>
      <c r="D73" s="126"/>
      <c r="E73" s="126"/>
      <c r="F73" s="126"/>
    </row>
    <row r="75" spans="1:2" ht="12.75">
      <c r="A75" s="132" t="s">
        <v>105</v>
      </c>
      <c r="B75" s="150">
        <f>_xlfn.IFERROR(Saisie!C9,"")</f>
        <v>43946</v>
      </c>
    </row>
    <row r="77" spans="1:6" ht="22.5" customHeight="1">
      <c r="A77" s="125" t="s">
        <v>106</v>
      </c>
      <c r="B77" s="126"/>
      <c r="C77" s="126"/>
      <c r="D77" s="126"/>
      <c r="E77" s="126"/>
      <c r="F77" s="126"/>
    </row>
    <row r="79" spans="1:20" ht="12.75">
      <c r="A79" s="394" t="str">
        <f>IF(Saisie!C17="Colocation Meublée",H79,O79)</f>
        <v>Le contrat de location est établi pour une durée initiale de 1 an soit jusqu’au </v>
      </c>
      <c r="B79" s="395"/>
      <c r="C79" s="395"/>
      <c r="D79" s="395"/>
      <c r="E79" s="150">
        <f>_xlfn.IFERROR((DAY(B75)&amp;"/"&amp;MONTH(B75)&amp;"/"&amp;YEAR(B75)+1)-1,"")</f>
        <v>44310</v>
      </c>
      <c r="H79" s="391" t="s">
        <v>192</v>
      </c>
      <c r="I79" s="391"/>
      <c r="J79" s="391"/>
      <c r="K79" s="391"/>
      <c r="L79" s="391"/>
      <c r="M79" s="181"/>
      <c r="O79" s="391" t="s">
        <v>107</v>
      </c>
      <c r="P79" s="391"/>
      <c r="Q79" s="391"/>
      <c r="R79" s="391"/>
      <c r="S79" s="391"/>
      <c r="T79" s="181"/>
    </row>
    <row r="81" spans="1:20" ht="22.5" customHeight="1">
      <c r="A81" s="125" t="str">
        <f>IF(Saisie!C17="Colocation Meublée","C. EVÉNEMENT ET RAISON JUSTIFIANT LA DURÉE RÉDUITE DU CONTRAT DE COLOCATION","C. EVÉNEMENT ET RAISON JUSTIFIANT LA DURÉE RÉDUITE DU CONTRAT DE LOCATION")</f>
        <v>C. EVÉNEMENT ET RAISON JUSTIFIANT LA DURÉE RÉDUITE DU CONTRAT DE LOCATION</v>
      </c>
      <c r="B81" s="126"/>
      <c r="C81" s="126"/>
      <c r="D81" s="126"/>
      <c r="E81" s="126"/>
      <c r="F81" s="126"/>
      <c r="H81" s="443" t="s">
        <v>169</v>
      </c>
      <c r="I81" s="444"/>
      <c r="J81" s="444"/>
      <c r="K81" s="444"/>
      <c r="L81" s="444"/>
      <c r="M81" s="445"/>
      <c r="O81" s="443" t="s">
        <v>21</v>
      </c>
      <c r="P81" s="444"/>
      <c r="Q81" s="444"/>
      <c r="R81" s="444"/>
      <c r="S81" s="444"/>
      <c r="T81" s="445"/>
    </row>
    <row r="82" spans="8:20" ht="12.75">
      <c r="H82" s="186"/>
      <c r="I82" s="187"/>
      <c r="J82" s="187"/>
      <c r="K82" s="187"/>
      <c r="L82" s="187"/>
      <c r="M82" s="188"/>
      <c r="O82" s="186"/>
      <c r="P82" s="187"/>
      <c r="Q82" s="187"/>
      <c r="R82" s="187"/>
      <c r="S82" s="187"/>
      <c r="T82" s="188"/>
    </row>
    <row r="83" spans="1:20" ht="12.75" customHeight="1">
      <c r="A83" s="420" t="str">
        <f>_xlfn.IFERROR(IF(Saisie!C17="Colocation Meublée",H83,O83),"")</f>
        <v>En l'absence de proposition de renouvellement du contrat, celui-ci est, à son terme, reconduit tacitement pour 1 an et dans les mêmes conditions. Le locataire peut  mettre fin au bail à tout moment, après avoir donné congé en respectant la durée de préavis de 1 mois. Le bailleur, quant à lui, peut mettre fin au bail à son échéance et après avoir donné congé, soit pour reprendre le logement en vue de l'occuper lui-même ou une personne de sa famille, soit pour le vendre, soit pour un motif sérieux et légitime.</v>
      </c>
      <c r="B83" s="421"/>
      <c r="C83" s="421"/>
      <c r="D83" s="421"/>
      <c r="E83" s="421"/>
      <c r="F83" s="421"/>
      <c r="H83" s="437" t="s">
        <v>195</v>
      </c>
      <c r="I83" s="438"/>
      <c r="J83" s="438"/>
      <c r="K83" s="438"/>
      <c r="L83" s="438"/>
      <c r="M83" s="439"/>
      <c r="O83" s="437" t="s">
        <v>163</v>
      </c>
      <c r="P83" s="438"/>
      <c r="Q83" s="438"/>
      <c r="R83" s="438"/>
      <c r="S83" s="438"/>
      <c r="T83" s="439"/>
    </row>
    <row r="84" spans="1:20" ht="12.75">
      <c r="A84" s="421"/>
      <c r="B84" s="421"/>
      <c r="C84" s="421"/>
      <c r="D84" s="421"/>
      <c r="E84" s="421"/>
      <c r="F84" s="421"/>
      <c r="H84" s="437"/>
      <c r="I84" s="438"/>
      <c r="J84" s="438"/>
      <c r="K84" s="438"/>
      <c r="L84" s="438"/>
      <c r="M84" s="439"/>
      <c r="O84" s="437"/>
      <c r="P84" s="438"/>
      <c r="Q84" s="438"/>
      <c r="R84" s="438"/>
      <c r="S84" s="438"/>
      <c r="T84" s="439"/>
    </row>
    <row r="85" spans="1:20" ht="12.75">
      <c r="A85" s="421"/>
      <c r="B85" s="421"/>
      <c r="C85" s="421"/>
      <c r="D85" s="421"/>
      <c r="E85" s="421"/>
      <c r="F85" s="421"/>
      <c r="H85" s="437"/>
      <c r="I85" s="438"/>
      <c r="J85" s="438"/>
      <c r="K85" s="438"/>
      <c r="L85" s="438"/>
      <c r="M85" s="439"/>
      <c r="O85" s="437"/>
      <c r="P85" s="438"/>
      <c r="Q85" s="438"/>
      <c r="R85" s="438"/>
      <c r="S85" s="438"/>
      <c r="T85" s="439"/>
    </row>
    <row r="86" spans="1:20" ht="12.75">
      <c r="A86" s="421"/>
      <c r="B86" s="421"/>
      <c r="C86" s="421"/>
      <c r="D86" s="421"/>
      <c r="E86" s="421"/>
      <c r="F86" s="421"/>
      <c r="H86" s="437"/>
      <c r="I86" s="438"/>
      <c r="J86" s="438"/>
      <c r="K86" s="438"/>
      <c r="L86" s="438"/>
      <c r="M86" s="439"/>
      <c r="O86" s="437"/>
      <c r="P86" s="438"/>
      <c r="Q86" s="438"/>
      <c r="R86" s="438"/>
      <c r="S86" s="438"/>
      <c r="T86" s="439"/>
    </row>
    <row r="87" spans="1:20" ht="12.75">
      <c r="A87" s="421"/>
      <c r="B87" s="421"/>
      <c r="C87" s="421"/>
      <c r="D87" s="421"/>
      <c r="E87" s="421"/>
      <c r="F87" s="421"/>
      <c r="H87" s="437"/>
      <c r="I87" s="438"/>
      <c r="J87" s="438"/>
      <c r="K87" s="438"/>
      <c r="L87" s="438"/>
      <c r="M87" s="439"/>
      <c r="O87" s="437"/>
      <c r="P87" s="438"/>
      <c r="Q87" s="438"/>
      <c r="R87" s="438"/>
      <c r="S87" s="438"/>
      <c r="T87" s="439"/>
    </row>
    <row r="88" spans="1:20" ht="12.75">
      <c r="A88" s="421"/>
      <c r="B88" s="421"/>
      <c r="C88" s="421"/>
      <c r="D88" s="421"/>
      <c r="E88" s="421"/>
      <c r="F88" s="421"/>
      <c r="H88" s="440"/>
      <c r="I88" s="441"/>
      <c r="J88" s="441"/>
      <c r="K88" s="441"/>
      <c r="L88" s="441"/>
      <c r="M88" s="442"/>
      <c r="O88" s="440"/>
      <c r="P88" s="441"/>
      <c r="Q88" s="441"/>
      <c r="R88" s="441"/>
      <c r="S88" s="441"/>
      <c r="T88" s="442"/>
    </row>
    <row r="90" ht="21">
      <c r="A90" s="122" t="s">
        <v>108</v>
      </c>
    </row>
    <row r="91" spans="1:13" ht="12.75">
      <c r="A91" s="418" t="str">
        <f>H91</f>
        <v>Les parties conviennent des conditions financières suivantes :</v>
      </c>
      <c r="B91" s="418"/>
      <c r="C91" s="418"/>
      <c r="D91" s="418"/>
      <c r="H91" s="446" t="s">
        <v>109</v>
      </c>
      <c r="I91" s="447"/>
      <c r="J91" s="447"/>
      <c r="K91" s="447"/>
      <c r="L91" s="189"/>
      <c r="M91" s="190"/>
    </row>
    <row r="92" ht="12.75"/>
    <row r="93" spans="1:6" ht="22.5" customHeight="1">
      <c r="A93" s="125" t="s">
        <v>110</v>
      </c>
      <c r="B93" s="126"/>
      <c r="C93" s="126"/>
      <c r="D93" s="126"/>
      <c r="E93" s="126"/>
      <c r="F93" s="126"/>
    </row>
    <row r="94" ht="12.75"/>
    <row r="95" spans="1:2" ht="12.75">
      <c r="A95" s="462" t="s">
        <v>114</v>
      </c>
      <c r="B95" s="462"/>
    </row>
    <row r="96" spans="1:3" ht="12.75">
      <c r="A96" s="394" t="s">
        <v>113</v>
      </c>
      <c r="B96" s="419"/>
      <c r="C96" s="135">
        <f>_xlfn.IFERROR(Saisie!F3,"")</f>
        <v>350</v>
      </c>
    </row>
    <row r="97" spans="1:6" ht="12.75" hidden="1">
      <c r="A97" s="394" t="s">
        <v>187</v>
      </c>
      <c r="B97" s="419"/>
      <c r="C97" s="135">
        <f>Saisie!F6</f>
        <v>0</v>
      </c>
      <c r="D97" s="394" t="s">
        <v>182</v>
      </c>
      <c r="E97" s="419"/>
      <c r="F97" s="135">
        <f>C96+C97</f>
        <v>350</v>
      </c>
    </row>
    <row r="98" ht="12.75"/>
    <row r="99" spans="1:2" ht="12.75">
      <c r="A99" s="422" t="s">
        <v>115</v>
      </c>
      <c r="B99" s="422"/>
    </row>
    <row r="100" spans="1:6" ht="13.5">
      <c r="A100" s="136" t="s">
        <v>116</v>
      </c>
      <c r="B100" s="137"/>
      <c r="C100" s="138"/>
      <c r="D100" s="139">
        <f>_xlfn.IFERROR(B75+365,"")</f>
        <v>44311</v>
      </c>
      <c r="E100" s="133"/>
      <c r="F100" s="134"/>
    </row>
    <row r="101" spans="1:13" ht="12.75">
      <c r="A101" s="140" t="str">
        <f>H101</f>
        <v>b) Date ou trimestre de référence de l'IRL : dernière valeur connue à ce jour 1er trimestre 2020 = 130,57</v>
      </c>
      <c r="B101" s="133"/>
      <c r="C101" s="133"/>
      <c r="D101" s="133"/>
      <c r="E101" s="133"/>
      <c r="F101" s="134"/>
      <c r="H101" s="454" t="s">
        <v>279</v>
      </c>
      <c r="I101" s="455"/>
      <c r="J101" s="455"/>
      <c r="K101" s="455"/>
      <c r="L101" s="455"/>
      <c r="M101" s="456"/>
    </row>
    <row r="103" spans="1:6" ht="22.5" customHeight="1">
      <c r="A103" s="125" t="s">
        <v>111</v>
      </c>
      <c r="B103" s="126"/>
      <c r="C103" s="126"/>
      <c r="D103" s="126"/>
      <c r="E103" s="126"/>
      <c r="F103" s="126"/>
    </row>
    <row r="104" ht="5.25" customHeight="1"/>
    <row r="105" spans="1:13" ht="13.5">
      <c r="A105" s="418" t="str">
        <f>H105</f>
        <v>Le montant des charges est compris dans le loyer.</v>
      </c>
      <c r="B105" s="418"/>
      <c r="C105" s="418"/>
      <c r="D105" s="418"/>
      <c r="H105" s="446" t="s">
        <v>117</v>
      </c>
      <c r="I105" s="447"/>
      <c r="J105" s="447"/>
      <c r="K105" s="447"/>
      <c r="L105" s="447"/>
      <c r="M105" s="448"/>
    </row>
    <row r="106" spans="1:13" ht="13.5">
      <c r="A106" s="418" t="str">
        <f>CONCATENATE("Les charges prennent en compte : ",H106)</f>
        <v>Les charges prennent en compte : Eau, Electricité, Chauffage, Accès Internet</v>
      </c>
      <c r="B106" s="418"/>
      <c r="C106" s="418"/>
      <c r="D106" s="418"/>
      <c r="E106" s="418"/>
      <c r="F106" s="418"/>
      <c r="H106" s="446" t="s">
        <v>188</v>
      </c>
      <c r="I106" s="447"/>
      <c r="J106" s="447"/>
      <c r="K106" s="447"/>
      <c r="L106" s="447"/>
      <c r="M106" s="448"/>
    </row>
    <row r="107" ht="7.5" customHeight="1"/>
    <row r="108" spans="1:6" ht="22.5" customHeight="1">
      <c r="A108" s="125" t="s">
        <v>112</v>
      </c>
      <c r="B108" s="126"/>
      <c r="C108" s="126"/>
      <c r="D108" s="126"/>
      <c r="E108" s="126"/>
      <c r="F108" s="126"/>
    </row>
    <row r="110" spans="1:4" ht="12.75">
      <c r="A110" s="394" t="s">
        <v>118</v>
      </c>
      <c r="B110" s="395"/>
      <c r="C110" s="423" t="s">
        <v>122</v>
      </c>
      <c r="D110" s="423"/>
    </row>
    <row r="111" spans="1:4" ht="12.75">
      <c r="A111" s="394" t="s">
        <v>119</v>
      </c>
      <c r="B111" s="395"/>
      <c r="C111" s="423" t="str">
        <f>_xlfn.IFERROR(Saisie!C19,"")</f>
        <v>A ECHOIR</v>
      </c>
      <c r="D111" s="423"/>
    </row>
    <row r="112" spans="1:13" ht="12.75">
      <c r="A112" s="394" t="s">
        <v>120</v>
      </c>
      <c r="B112" s="395"/>
      <c r="C112" s="423" t="str">
        <f>H112</f>
        <v>Le 2 du mois en cours</v>
      </c>
      <c r="D112" s="423"/>
      <c r="H112" s="454" t="s">
        <v>123</v>
      </c>
      <c r="I112" s="455"/>
      <c r="J112" s="455"/>
      <c r="K112" s="455"/>
      <c r="L112" s="455"/>
      <c r="M112" s="456"/>
    </row>
    <row r="113" spans="1:4" ht="12.75">
      <c r="A113" s="394" t="s">
        <v>121</v>
      </c>
      <c r="B113" s="395"/>
      <c r="C113" s="423" t="str">
        <f>_xlfn.IFERROR(Saisie!C16,"")</f>
        <v>Virement</v>
      </c>
      <c r="D113" s="423"/>
    </row>
    <row r="115" ht="4.5" customHeight="1"/>
    <row r="116" ht="21">
      <c r="A116" s="122" t="s">
        <v>124</v>
      </c>
    </row>
    <row r="117" spans="1:9" ht="12.75">
      <c r="A117" s="394" t="str">
        <f>IF(Saisie!C17="Colocation Meublé","Montant du dépôt de garantie de l'exécution des obligations des colocataires :","Montant du dépôt de garantie de l'exécution des obligations des locataires :")</f>
        <v>Montant du dépôt de garantie de l'exécution des obligations des locataires :</v>
      </c>
      <c r="B117" s="395"/>
      <c r="C117" s="395"/>
      <c r="D117" s="395"/>
      <c r="E117" s="135">
        <f>Saisie!F28</f>
        <v>350</v>
      </c>
      <c r="H117" s="233" t="s">
        <v>256</v>
      </c>
      <c r="I117" s="180" t="s">
        <v>255</v>
      </c>
    </row>
    <row r="118" spans="1:9" ht="22.5" customHeight="1">
      <c r="A118" s="468">
        <f>IF(H118=1,I118,"")</f>
      </c>
      <c r="B118" s="468"/>
      <c r="C118" s="468"/>
      <c r="D118" s="468"/>
      <c r="E118" s="468"/>
      <c r="F118" s="468"/>
      <c r="H118" s="233"/>
      <c r="I118" s="232" t="s">
        <v>247</v>
      </c>
    </row>
    <row r="119" spans="1:2" ht="22.5" customHeight="1">
      <c r="A119" s="231" t="s">
        <v>160</v>
      </c>
      <c r="B119" s="228"/>
    </row>
    <row r="120" spans="1:2" ht="13.5">
      <c r="A120" s="467" t="s">
        <v>130</v>
      </c>
      <c r="B120" s="467"/>
    </row>
    <row r="121" spans="1:20" ht="13.5">
      <c r="A121" s="418" t="str">
        <f>IF(Saisie!C17="Colocation Meublée",H121,O121)</f>
        <v>- à remettre au locataire un logement décent en bon état d’usage et de réparation</v>
      </c>
      <c r="B121" s="418"/>
      <c r="C121" s="418"/>
      <c r="D121" s="418"/>
      <c r="E121" s="418"/>
      <c r="F121" s="418"/>
      <c r="H121" s="449" t="s">
        <v>165</v>
      </c>
      <c r="I121" s="447"/>
      <c r="J121" s="447"/>
      <c r="K121" s="447"/>
      <c r="L121" s="447"/>
      <c r="M121" s="448"/>
      <c r="O121" s="446" t="s">
        <v>164</v>
      </c>
      <c r="P121" s="447"/>
      <c r="Q121" s="447"/>
      <c r="R121" s="447"/>
      <c r="S121" s="447"/>
      <c r="T121" s="448"/>
    </row>
    <row r="122" spans="1:20" ht="24.75" customHeight="1">
      <c r="A122" s="417" t="str">
        <f>IF(Saisie!C17="Colocation Meublée",H122,O122)</f>
        <v>- à assurer au locataire la jouissance paisible des lieux loués et à le garantir des vices ou défauts de nature à y faire obstacle </v>
      </c>
      <c r="B122" s="417"/>
      <c r="C122" s="417"/>
      <c r="D122" s="417"/>
      <c r="E122" s="417"/>
      <c r="F122" s="417"/>
      <c r="H122" s="450" t="s">
        <v>167</v>
      </c>
      <c r="I122" s="451"/>
      <c r="J122" s="451"/>
      <c r="K122" s="451"/>
      <c r="L122" s="451"/>
      <c r="M122" s="452"/>
      <c r="O122" s="453" t="s">
        <v>166</v>
      </c>
      <c r="P122" s="451"/>
      <c r="Q122" s="451"/>
      <c r="R122" s="451"/>
      <c r="S122" s="451"/>
      <c r="T122" s="452"/>
    </row>
    <row r="123" spans="1:13" ht="21.75" customHeight="1">
      <c r="A123" s="417" t="str">
        <f>H123</f>
        <v>- à entretenir les locaux en état de servir à l’usage prévu par le contrat et à y faire toutes les réparations, autres que locatives, nécessaires au maintien en état et à l’entretien normal des locaux loués </v>
      </c>
      <c r="B123" s="417"/>
      <c r="C123" s="417"/>
      <c r="D123" s="417"/>
      <c r="E123" s="417"/>
      <c r="F123" s="417"/>
      <c r="H123" s="453" t="s">
        <v>129</v>
      </c>
      <c r="I123" s="451"/>
      <c r="J123" s="451"/>
      <c r="K123" s="451"/>
      <c r="L123" s="451"/>
      <c r="M123" s="452"/>
    </row>
    <row r="125" spans="1:6" ht="12.75">
      <c r="A125" s="415" t="str">
        <f>IF(Saisie!C17="Colocation Meublée","Le colocataire s’oblige :","Le locataire s’oblige :")</f>
        <v>Le locataire s’oblige :</v>
      </c>
      <c r="B125" s="415"/>
      <c r="C125" s="415"/>
      <c r="D125" s="415"/>
      <c r="E125" s="415"/>
      <c r="F125" s="415"/>
    </row>
    <row r="126" spans="1:20" ht="12.75" customHeight="1">
      <c r="A126" s="417" t="str">
        <f>IF(Saisie!F5="FORFAIT CHARGES",H126,O126)</f>
        <v>- à payer le loyer (charges comprises) aux termes convenus ; </v>
      </c>
      <c r="B126" s="417"/>
      <c r="C126" s="417"/>
      <c r="D126" s="417"/>
      <c r="E126" s="417"/>
      <c r="F126" s="417"/>
      <c r="H126" s="464" t="s">
        <v>131</v>
      </c>
      <c r="I126" s="465"/>
      <c r="J126" s="465"/>
      <c r="K126" s="465"/>
      <c r="L126" s="465"/>
      <c r="M126" s="466"/>
      <c r="O126" s="473" t="s">
        <v>186</v>
      </c>
      <c r="P126" s="465"/>
      <c r="Q126" s="465"/>
      <c r="R126" s="465"/>
      <c r="S126" s="465"/>
      <c r="T126" s="466"/>
    </row>
    <row r="127" spans="1:13" ht="12.75" customHeight="1">
      <c r="A127" s="417" t="str">
        <f>H127</f>
        <v>- à user paisiblement des locaux loués suivant leur destination prévue au contrat ; </v>
      </c>
      <c r="B127" s="417"/>
      <c r="C127" s="417"/>
      <c r="D127" s="417"/>
      <c r="E127" s="417"/>
      <c r="F127" s="417"/>
      <c r="H127" s="406" t="s">
        <v>132</v>
      </c>
      <c r="I127" s="403"/>
      <c r="J127" s="403"/>
      <c r="K127" s="403"/>
      <c r="L127" s="403"/>
      <c r="M127" s="404"/>
    </row>
    <row r="128" spans="1:13" ht="12.75" customHeight="1">
      <c r="A128" s="417" t="str">
        <f>H128</f>
        <v>- à ne pas céder ou sous-louer les locaux loués ;</v>
      </c>
      <c r="B128" s="417"/>
      <c r="C128" s="417"/>
      <c r="D128" s="417"/>
      <c r="E128" s="417"/>
      <c r="F128" s="417"/>
      <c r="H128" s="406" t="s">
        <v>133</v>
      </c>
      <c r="I128" s="403"/>
      <c r="J128" s="403"/>
      <c r="K128" s="403"/>
      <c r="L128" s="403"/>
      <c r="M128" s="404"/>
    </row>
    <row r="129" spans="1:13" ht="26.25" customHeight="1">
      <c r="A129" s="417" t="str">
        <f>H129</f>
        <v>- à répondre des dégradations et des pertes qui surviennent pendant la durée du bail, sauf cas de force majeure, faute du Bailleur ou fait d’un tiers qu’il n’a pas introduit dans le logement ;</v>
      </c>
      <c r="B129" s="417"/>
      <c r="C129" s="417"/>
      <c r="D129" s="417"/>
      <c r="E129" s="417"/>
      <c r="F129" s="417"/>
      <c r="H129" s="406" t="s">
        <v>134</v>
      </c>
      <c r="I129" s="403"/>
      <c r="J129" s="403"/>
      <c r="K129" s="403"/>
      <c r="L129" s="403"/>
      <c r="M129" s="404"/>
    </row>
    <row r="130" spans="1:13" ht="25.5" customHeight="1">
      <c r="A130" s="417" t="str">
        <f>H130</f>
        <v>- à laisser exécuter dans les lieux loués les travaux d’amélioration des parties communes ou des parties privatives du même immeuble, ainsi que les travaux nécessaires au maintien en état et à l’entretien normal des locaux loués ; </v>
      </c>
      <c r="B130" s="417"/>
      <c r="C130" s="417"/>
      <c r="D130" s="417"/>
      <c r="E130" s="417"/>
      <c r="F130" s="417"/>
      <c r="H130" s="406" t="s">
        <v>135</v>
      </c>
      <c r="I130" s="403"/>
      <c r="J130" s="403"/>
      <c r="K130" s="403"/>
      <c r="L130" s="403"/>
      <c r="M130" s="404"/>
    </row>
    <row r="131" spans="1:13" ht="12.75" customHeight="1">
      <c r="A131" s="417" t="str">
        <f>H131</f>
        <v>- à ne pas transformer les locaux et équipements loués sans l’accord préalable et écrit du Bailleur ; </v>
      </c>
      <c r="B131" s="417"/>
      <c r="C131" s="417"/>
      <c r="D131" s="417"/>
      <c r="E131" s="417"/>
      <c r="F131" s="417"/>
      <c r="H131" s="406" t="s">
        <v>136</v>
      </c>
      <c r="I131" s="403"/>
      <c r="J131" s="403"/>
      <c r="K131" s="403"/>
      <c r="L131" s="403"/>
      <c r="M131" s="404"/>
    </row>
    <row r="133" ht="13.5" thickBot="1"/>
    <row r="134" spans="1:15" ht="21" thickBot="1">
      <c r="A134" s="122" t="s">
        <v>137</v>
      </c>
      <c r="I134" s="184"/>
      <c r="J134" s="184"/>
      <c r="K134" s="184"/>
      <c r="L134" s="184"/>
      <c r="M134" s="184"/>
      <c r="O134" s="275" t="s">
        <v>329</v>
      </c>
    </row>
    <row r="135" spans="1:22" ht="66.75" customHeight="1">
      <c r="A135" s="416" t="str">
        <f>H135</f>
        <v>Modalités particulières des obligations en cas de pluralité de locataires : 
À l'égard du bailleur, les locataires désigné "Le locataire" sont solidairement responsables de l'ensemble des obligations stipulées au présent contrat.</v>
      </c>
      <c r="B135" s="416"/>
      <c r="C135" s="416"/>
      <c r="D135" s="416"/>
      <c r="E135" s="416"/>
      <c r="F135" s="416"/>
      <c r="H135" s="470" t="s">
        <v>317</v>
      </c>
      <c r="I135" s="459"/>
      <c r="J135" s="459"/>
      <c r="K135" s="459"/>
      <c r="L135" s="459"/>
      <c r="M135" s="459"/>
      <c r="N135" s="182"/>
      <c r="O135" s="470" t="s">
        <v>328</v>
      </c>
      <c r="P135" s="459"/>
      <c r="Q135" s="459"/>
      <c r="R135" s="459"/>
      <c r="S135" s="459"/>
      <c r="T135" s="459"/>
      <c r="U135" s="185" t="s">
        <v>170</v>
      </c>
      <c r="V135" s="183"/>
    </row>
    <row r="136" spans="1:22" ht="179.25" customHeight="1" hidden="1">
      <c r="A136" s="469" t="str">
        <f>_xlfn.IFERROR(IF(O134&lt;&gt;"SOLIDAIRE",H136,O136),"")</f>
        <v>Modalités particulières des obligations en cas de pluralité de colocataires : 
Les colocataires des chambres ont signé entre eux un règlement de colocation stipulant leurs obligations réciproques, l’attribution des parties communes et privatives. 
À l'égard du bailleur, les colocataires des chambres sont solidairement responsables des obligations stipulées au présent contrat.
En cas de substitution d’un ou de plusieurs colocataires, les parties signeront un avenant au règlement de colocation qui mentionnera le ou les nouveaux colocataires entrants.
Les colocataires pourront proposer au bailleur des candidats pour le remplacement des colocataires sortant.
La décision revient, quant à elle, exclusivement au bailleur, seule partie en capacité d’accorder ou non le remplacement selon ses critères.
</v>
      </c>
      <c r="B136" s="463"/>
      <c r="C136" s="463"/>
      <c r="D136" s="463"/>
      <c r="E136" s="463"/>
      <c r="F136" s="463"/>
      <c r="H136" s="471" t="s">
        <v>321</v>
      </c>
      <c r="I136" s="472"/>
      <c r="J136" s="472"/>
      <c r="K136" s="472"/>
      <c r="L136" s="472"/>
      <c r="M136" s="472"/>
      <c r="N136" s="182"/>
      <c r="O136" s="471" t="s">
        <v>320</v>
      </c>
      <c r="P136" s="472"/>
      <c r="Q136" s="472"/>
      <c r="R136" s="472"/>
      <c r="S136" s="472"/>
      <c r="T136" s="472"/>
      <c r="U136" s="185" t="s">
        <v>168</v>
      </c>
      <c r="V136" s="183"/>
    </row>
    <row r="137" spans="1:6" ht="12.75">
      <c r="A137" s="463"/>
      <c r="B137" s="463"/>
      <c r="C137" s="463"/>
      <c r="D137" s="463"/>
      <c r="E137" s="463"/>
      <c r="F137" s="463"/>
    </row>
    <row r="138" ht="21">
      <c r="A138" s="122" t="s">
        <v>138</v>
      </c>
    </row>
    <row r="139" spans="1:13" ht="13.5">
      <c r="A139" s="407" t="str">
        <f>H139</f>
        <v>Le présent contrat peut être résilié de plein droit par le bailleur en cas de :</v>
      </c>
      <c r="B139" s="407"/>
      <c r="C139" s="407"/>
      <c r="D139" s="407"/>
      <c r="E139" s="407"/>
      <c r="F139" s="407"/>
      <c r="H139" s="406" t="s">
        <v>139</v>
      </c>
      <c r="I139" s="403"/>
      <c r="J139" s="403"/>
      <c r="K139" s="403"/>
      <c r="L139" s="403"/>
      <c r="M139" s="404"/>
    </row>
    <row r="140" spans="1:13" ht="13.5">
      <c r="A140" s="407" t="str">
        <f>H140</f>
        <v>- défaut de paiement du loyer aux termes convenus.</v>
      </c>
      <c r="B140" s="407"/>
      <c r="C140" s="407"/>
      <c r="D140" s="407"/>
      <c r="E140" s="407"/>
      <c r="F140" s="407"/>
      <c r="H140" s="406" t="s">
        <v>140</v>
      </c>
      <c r="I140" s="403"/>
      <c r="J140" s="403"/>
      <c r="K140" s="403"/>
      <c r="L140" s="403"/>
      <c r="M140" s="404"/>
    </row>
    <row r="141" spans="1:13" ht="13.5">
      <c r="A141" s="407" t="str">
        <f>H141</f>
        <v>- non-respect de l’obligation d’user paisiblement des locaux loués résultant de troubles de voisinage</v>
      </c>
      <c r="B141" s="407"/>
      <c r="C141" s="407"/>
      <c r="D141" s="407"/>
      <c r="E141" s="407"/>
      <c r="F141" s="407"/>
      <c r="H141" s="406" t="s">
        <v>141</v>
      </c>
      <c r="I141" s="403"/>
      <c r="J141" s="403"/>
      <c r="K141" s="403"/>
      <c r="L141" s="403"/>
      <c r="M141" s="404"/>
    </row>
    <row r="142" spans="1:13" ht="13.5">
      <c r="A142" s="407" t="str">
        <f>H142</f>
        <v>- défaut d’assurance habitation.</v>
      </c>
      <c r="B142" s="407"/>
      <c r="C142" s="407"/>
      <c r="D142" s="407"/>
      <c r="E142" s="407"/>
      <c r="F142" s="407"/>
      <c r="H142" s="406" t="s">
        <v>142</v>
      </c>
      <c r="I142" s="403"/>
      <c r="J142" s="403"/>
      <c r="K142" s="403"/>
      <c r="L142" s="403"/>
      <c r="M142" s="404"/>
    </row>
    <row r="143" spans="1:13" ht="13.5">
      <c r="A143" s="407" t="str">
        <f>H143</f>
        <v>- tout autre évènement ou mauvais usage avéré pouvant mettre en péril l’intégrité des biens loués</v>
      </c>
      <c r="B143" s="407"/>
      <c r="C143" s="407"/>
      <c r="D143" s="407"/>
      <c r="E143" s="407"/>
      <c r="F143" s="407"/>
      <c r="H143" s="406" t="s">
        <v>143</v>
      </c>
      <c r="I143" s="403"/>
      <c r="J143" s="403"/>
      <c r="K143" s="403"/>
      <c r="L143" s="403"/>
      <c r="M143" s="404"/>
    </row>
    <row r="145" ht="21">
      <c r="A145" s="122" t="s">
        <v>253</v>
      </c>
    </row>
    <row r="146" spans="1:6" ht="119.25" customHeight="1">
      <c r="A146" s="461" t="s">
        <v>322</v>
      </c>
      <c r="B146" s="457"/>
      <c r="C146" s="457"/>
      <c r="D146" s="457"/>
      <c r="E146" s="457"/>
      <c r="F146" s="457"/>
    </row>
    <row r="147" ht="3" customHeight="1"/>
    <row r="148" ht="5.25" customHeight="1"/>
    <row r="149" ht="21">
      <c r="A149" s="122" t="s">
        <v>254</v>
      </c>
    </row>
    <row r="150" spans="1:6" ht="12.75" customHeight="1">
      <c r="A150" s="407" t="str">
        <f>IF(Saisie!C17="Colocation Meublée","Sont annexées et jointes au contrat de colocation les pièces suivantes :","Sont annexées et jointes au contrat de location les pièces suivantes :")</f>
        <v>Sont annexées et jointes au contrat de location les pièces suivantes :</v>
      </c>
      <c r="B150" s="407"/>
      <c r="C150" s="407"/>
      <c r="D150" s="407"/>
      <c r="E150" s="407"/>
      <c r="F150" s="407"/>
    </row>
    <row r="151" spans="1:13" ht="13.5">
      <c r="A151" s="414" t="str">
        <f>H151</f>
        <v>- Le règlement signé de l’appartement</v>
      </c>
      <c r="B151" s="407"/>
      <c r="C151" s="407"/>
      <c r="D151" s="407"/>
      <c r="E151" s="407"/>
      <c r="F151" s="407"/>
      <c r="H151" s="402" t="s">
        <v>249</v>
      </c>
      <c r="I151" s="403"/>
      <c r="J151" s="403"/>
      <c r="K151" s="403"/>
      <c r="L151" s="403"/>
      <c r="M151" s="404"/>
    </row>
    <row r="152" spans="1:13" ht="13.5">
      <c r="A152" s="414" t="str">
        <f>H152</f>
        <v>- L'état des lieux de l’appartement</v>
      </c>
      <c r="B152" s="407"/>
      <c r="C152" s="407"/>
      <c r="D152" s="407"/>
      <c r="E152" s="407"/>
      <c r="F152" s="407"/>
      <c r="H152" s="402" t="s">
        <v>250</v>
      </c>
      <c r="I152" s="403"/>
      <c r="J152" s="403"/>
      <c r="K152" s="403"/>
      <c r="L152" s="403"/>
      <c r="M152" s="404"/>
    </row>
    <row r="153" spans="1:13" ht="14.25" customHeight="1">
      <c r="A153" s="457">
        <f>IF(H118=1,H153,"")</f>
      </c>
      <c r="B153" s="416"/>
      <c r="C153" s="416"/>
      <c r="D153" s="416"/>
      <c r="E153" s="416"/>
      <c r="F153" s="416"/>
      <c r="H153" s="458" t="s">
        <v>248</v>
      </c>
      <c r="I153" s="459"/>
      <c r="J153" s="459"/>
      <c r="K153" s="459"/>
      <c r="L153" s="459"/>
      <c r="M153" s="460"/>
    </row>
    <row r="154" spans="1:6" ht="13.5">
      <c r="A154" s="229"/>
      <c r="B154" s="230"/>
      <c r="C154" s="230"/>
      <c r="D154" s="230"/>
      <c r="E154" s="230"/>
      <c r="F154" s="230"/>
    </row>
    <row r="155" spans="1:6" ht="12.75" hidden="1">
      <c r="A155" s="141"/>
      <c r="B155" s="142"/>
      <c r="C155" s="142"/>
      <c r="D155" s="142"/>
      <c r="E155" s="142"/>
      <c r="F155" s="143"/>
    </row>
    <row r="156" spans="1:6" ht="12.75">
      <c r="A156" s="413" t="str">
        <f>_xlfn.IFERROR(CONCATENATE("le ",IF(LEN(DAY(Saisie!$C$9))&lt;2,CONCATENATE(0,DAY(Saisie!$C$9)),DAY(Saisie!$C$9)),"/",IF(LEN(MONTH(Saisie!$C$9))&lt;2,CONCATENATE(0,MONTH(Saisie!$C$9)),MONTH(Saisie!$C$9)),"/",YEAR(Saisie!$C$9)," à ",Saisie!$C$10," en 2 originaux dont un remis à chacune des parties qui le reconnait."),"")</f>
        <v>le 25/04/2020 à PARIS en 2 originaux dont un remis à chacune des parties qui le reconnait.</v>
      </c>
      <c r="B156" s="413"/>
      <c r="C156" s="413"/>
      <c r="D156" s="413"/>
      <c r="E156" s="413"/>
      <c r="F156" s="413"/>
    </row>
    <row r="157" spans="1:6" ht="12.75">
      <c r="A157" s="276"/>
      <c r="B157" s="276"/>
      <c r="C157" s="276"/>
      <c r="D157" s="276"/>
      <c r="E157" s="277"/>
      <c r="F157" s="277"/>
    </row>
    <row r="159" spans="1:17" ht="12.75">
      <c r="A159" s="362" t="s">
        <v>63</v>
      </c>
      <c r="B159" s="362"/>
      <c r="C159" s="362"/>
      <c r="D159" s="362" t="str">
        <f>_xlfn.IFERROR(IF(Saisie!C17="Colocation Meublée",H159,O159),"")</f>
        <v>LE LOCATAIRE
Signature précédée de la mention manuscrite
«lu et approuvé»</v>
      </c>
      <c r="E159" s="363"/>
      <c r="F159" s="363"/>
      <c r="H159" s="405" t="s">
        <v>171</v>
      </c>
      <c r="I159" s="405"/>
      <c r="J159" s="405"/>
      <c r="O159" s="405" t="s">
        <v>172</v>
      </c>
      <c r="P159" s="405"/>
      <c r="Q159" s="405"/>
    </row>
    <row r="160" spans="1:17" ht="12.75">
      <c r="A160" s="363"/>
      <c r="B160" s="363"/>
      <c r="C160" s="363"/>
      <c r="D160" s="363"/>
      <c r="E160" s="363"/>
      <c r="F160" s="363"/>
      <c r="H160" s="405"/>
      <c r="I160" s="405"/>
      <c r="J160" s="405"/>
      <c r="O160" s="405"/>
      <c r="P160" s="405"/>
      <c r="Q160" s="405"/>
    </row>
    <row r="161" spans="1:17" ht="12.75">
      <c r="A161" s="363"/>
      <c r="B161" s="363"/>
      <c r="C161" s="363"/>
      <c r="D161" s="363"/>
      <c r="E161" s="363"/>
      <c r="F161" s="363"/>
      <c r="H161" s="405"/>
      <c r="I161" s="405"/>
      <c r="J161" s="405"/>
      <c r="O161" s="405"/>
      <c r="P161" s="405"/>
      <c r="Q161" s="405"/>
    </row>
    <row r="162" spans="1:17" ht="12.75">
      <c r="A162" s="363"/>
      <c r="B162" s="363"/>
      <c r="C162" s="363"/>
      <c r="D162" s="363"/>
      <c r="E162" s="363"/>
      <c r="F162" s="363"/>
      <c r="H162" s="405"/>
      <c r="I162" s="405"/>
      <c r="J162" s="405"/>
      <c r="O162" s="405"/>
      <c r="P162" s="405"/>
      <c r="Q162" s="405"/>
    </row>
    <row r="163" spans="1:17" ht="12.75">
      <c r="A163" s="363"/>
      <c r="B163" s="363"/>
      <c r="C163" s="363"/>
      <c r="D163" s="363"/>
      <c r="E163" s="363"/>
      <c r="F163" s="363"/>
      <c r="H163" s="405"/>
      <c r="I163" s="405"/>
      <c r="J163" s="405"/>
      <c r="O163" s="405"/>
      <c r="P163" s="405"/>
      <c r="Q163" s="405"/>
    </row>
    <row r="164" spans="1:6" ht="12.75">
      <c r="A164" s="410"/>
      <c r="B164" s="411"/>
      <c r="C164" s="411"/>
      <c r="D164" s="412"/>
      <c r="E164" s="412"/>
      <c r="F164" s="412"/>
    </row>
    <row r="165" spans="1:6" ht="12.75">
      <c r="A165" s="411"/>
      <c r="B165" s="411"/>
      <c r="C165" s="411"/>
      <c r="D165" s="412"/>
      <c r="E165" s="412"/>
      <c r="F165" s="412"/>
    </row>
    <row r="166" spans="1:6" ht="12.75">
      <c r="A166" s="411"/>
      <c r="B166" s="411"/>
      <c r="C166" s="411"/>
      <c r="D166" s="412"/>
      <c r="E166" s="412"/>
      <c r="F166" s="412"/>
    </row>
    <row r="167" spans="1:6" ht="12.75">
      <c r="A167" s="411"/>
      <c r="B167" s="411"/>
      <c r="C167" s="411"/>
      <c r="D167" s="412"/>
      <c r="E167" s="412"/>
      <c r="F167" s="412"/>
    </row>
    <row r="168" spans="1:6" ht="12.75">
      <c r="A168" s="411"/>
      <c r="B168" s="411"/>
      <c r="C168" s="411"/>
      <c r="D168" s="412"/>
      <c r="E168" s="412"/>
      <c r="F168" s="412"/>
    </row>
  </sheetData>
  <sheetProtection/>
  <mergeCells count="153">
    <mergeCell ref="O135:T135"/>
    <mergeCell ref="O136:T136"/>
    <mergeCell ref="O126:T126"/>
    <mergeCell ref="H136:M136"/>
    <mergeCell ref="H135:M135"/>
    <mergeCell ref="H127:M127"/>
    <mergeCell ref="A137:F137"/>
    <mergeCell ref="H105:M105"/>
    <mergeCell ref="H106:M106"/>
    <mergeCell ref="H112:M112"/>
    <mergeCell ref="H123:M123"/>
    <mergeCell ref="H126:M126"/>
    <mergeCell ref="A123:F123"/>
    <mergeCell ref="A120:B120"/>
    <mergeCell ref="A118:F118"/>
    <mergeCell ref="A136:F136"/>
    <mergeCell ref="A153:F153"/>
    <mergeCell ref="H153:M153"/>
    <mergeCell ref="A146:F146"/>
    <mergeCell ref="H128:M128"/>
    <mergeCell ref="H129:M129"/>
    <mergeCell ref="H83:M88"/>
    <mergeCell ref="A96:B96"/>
    <mergeCell ref="A95:B95"/>
    <mergeCell ref="A121:F121"/>
    <mergeCell ref="A122:F122"/>
    <mergeCell ref="O83:T88"/>
    <mergeCell ref="H81:M81"/>
    <mergeCell ref="O121:T121"/>
    <mergeCell ref="H121:M121"/>
    <mergeCell ref="H122:M122"/>
    <mergeCell ref="O122:T122"/>
    <mergeCell ref="O81:T81"/>
    <mergeCell ref="H91:K91"/>
    <mergeCell ref="H101:M101"/>
    <mergeCell ref="C37:F37"/>
    <mergeCell ref="C38:F38"/>
    <mergeCell ref="A3:F4"/>
    <mergeCell ref="A15:C15"/>
    <mergeCell ref="A26:F26"/>
    <mergeCell ref="A30:B30"/>
    <mergeCell ref="A31:B31"/>
    <mergeCell ref="A12:B12"/>
    <mergeCell ref="C12:F12"/>
    <mergeCell ref="A21:B21"/>
    <mergeCell ref="C21:F21"/>
    <mergeCell ref="C42:F42"/>
    <mergeCell ref="C43:F43"/>
    <mergeCell ref="A35:B35"/>
    <mergeCell ref="A36:B36"/>
    <mergeCell ref="C40:F40"/>
    <mergeCell ref="C41:F41"/>
    <mergeCell ref="C30:F30"/>
    <mergeCell ref="A37:B37"/>
    <mergeCell ref="A38:B38"/>
    <mergeCell ref="A13:B13"/>
    <mergeCell ref="C13:F13"/>
    <mergeCell ref="A19:B19"/>
    <mergeCell ref="C19:F19"/>
    <mergeCell ref="A20:B20"/>
    <mergeCell ref="C20:F20"/>
    <mergeCell ref="C44:F44"/>
    <mergeCell ref="A1:F1"/>
    <mergeCell ref="A10:B10"/>
    <mergeCell ref="C10:F10"/>
    <mergeCell ref="A11:B11"/>
    <mergeCell ref="C11:F11"/>
    <mergeCell ref="A39:B39"/>
    <mergeCell ref="C39:F39"/>
    <mergeCell ref="C35:F35"/>
    <mergeCell ref="C36:F36"/>
    <mergeCell ref="A33:B33"/>
    <mergeCell ref="A34:B34"/>
    <mergeCell ref="A113:B113"/>
    <mergeCell ref="A110:B110"/>
    <mergeCell ref="C112:D112"/>
    <mergeCell ref="C113:D113"/>
    <mergeCell ref="C110:D110"/>
    <mergeCell ref="C111:D111"/>
    <mergeCell ref="A111:B111"/>
    <mergeCell ref="A112:B112"/>
    <mergeCell ref="A32:B32"/>
    <mergeCell ref="A91:D91"/>
    <mergeCell ref="A97:B97"/>
    <mergeCell ref="D97:E97"/>
    <mergeCell ref="A83:F88"/>
    <mergeCell ref="A131:F131"/>
    <mergeCell ref="A117:D117"/>
    <mergeCell ref="A99:B99"/>
    <mergeCell ref="A105:D105"/>
    <mergeCell ref="A106:F106"/>
    <mergeCell ref="A135:F135"/>
    <mergeCell ref="A126:F126"/>
    <mergeCell ref="A127:F127"/>
    <mergeCell ref="A128:F128"/>
    <mergeCell ref="A129:F129"/>
    <mergeCell ref="A130:F130"/>
    <mergeCell ref="A61:B61"/>
    <mergeCell ref="A63:B63"/>
    <mergeCell ref="A164:C168"/>
    <mergeCell ref="D164:F168"/>
    <mergeCell ref="A156:F156"/>
    <mergeCell ref="A143:F143"/>
    <mergeCell ref="A150:F150"/>
    <mergeCell ref="A151:F151"/>
    <mergeCell ref="A152:F152"/>
    <mergeCell ref="A125:F125"/>
    <mergeCell ref="H141:M141"/>
    <mergeCell ref="H142:M142"/>
    <mergeCell ref="H143:M143"/>
    <mergeCell ref="H151:M151"/>
    <mergeCell ref="D159:F163"/>
    <mergeCell ref="A139:F139"/>
    <mergeCell ref="A140:F140"/>
    <mergeCell ref="A141:F141"/>
    <mergeCell ref="A142:F142"/>
    <mergeCell ref="A159:C163"/>
    <mergeCell ref="A59:F59"/>
    <mergeCell ref="A62:B62"/>
    <mergeCell ref="A53:B53"/>
    <mergeCell ref="H152:M152"/>
    <mergeCell ref="H159:J163"/>
    <mergeCell ref="O159:Q163"/>
    <mergeCell ref="H130:M130"/>
    <mergeCell ref="H131:M131"/>
    <mergeCell ref="H139:M139"/>
    <mergeCell ref="H140:M140"/>
    <mergeCell ref="A65:F65"/>
    <mergeCell ref="A79:D79"/>
    <mergeCell ref="A46:B46"/>
    <mergeCell ref="A40:B40"/>
    <mergeCell ref="A41:B41"/>
    <mergeCell ref="A42:B42"/>
    <mergeCell ref="A43:B43"/>
    <mergeCell ref="A48:F48"/>
    <mergeCell ref="A55:F55"/>
    <mergeCell ref="A44:B44"/>
    <mergeCell ref="H79:L79"/>
    <mergeCell ref="O79:S79"/>
    <mergeCell ref="H66:M66"/>
    <mergeCell ref="H67:M67"/>
    <mergeCell ref="H68:M68"/>
    <mergeCell ref="H69:M69"/>
    <mergeCell ref="H23:M23"/>
    <mergeCell ref="O23:T23"/>
    <mergeCell ref="A23:B23"/>
    <mergeCell ref="C23:D23"/>
    <mergeCell ref="H49:M49"/>
    <mergeCell ref="A49:F49"/>
    <mergeCell ref="C31:F31"/>
    <mergeCell ref="C32:F32"/>
    <mergeCell ref="C33:F33"/>
    <mergeCell ref="C34:F34"/>
  </mergeCells>
  <printOptions horizontalCentered="1"/>
  <pageMargins left="0.11811023622047245" right="0.11811023622047245" top="0.7480314960629921" bottom="0.7480314960629921" header="0.31496062992125984" footer="0.31496062992125984"/>
  <pageSetup fitToHeight="0" fitToWidth="1" horizontalDpi="600" verticalDpi="600" orientation="portrait" paperSize="9" scale="93" r:id="rId2"/>
  <headerFooter>
    <oddFooter xml:space="preserve">&amp;CPage &amp;P sur &amp;N&amp;RParaphe :...............................      </oddFooter>
  </headerFooter>
  <rowBreaks count="2" manualBreakCount="2">
    <brk id="89" max="5" man="1"/>
    <brk id="133" max="5" man="1"/>
  </rowBreaks>
  <drawing r:id="rId1"/>
</worksheet>
</file>

<file path=xl/worksheets/sheet12.xml><?xml version="1.0" encoding="utf-8"?>
<worksheet xmlns="http://schemas.openxmlformats.org/spreadsheetml/2006/main" xmlns:r="http://schemas.openxmlformats.org/officeDocument/2006/relationships">
  <sheetPr codeName="Feuil5"/>
  <dimension ref="B3:G4"/>
  <sheetViews>
    <sheetView zoomScalePageLayoutView="0" workbookViewId="0" topLeftCell="A1">
      <selection activeCell="G25" sqref="G25"/>
    </sheetView>
  </sheetViews>
  <sheetFormatPr defaultColWidth="11.421875" defaultRowHeight="12.75"/>
  <sheetData>
    <row r="3" spans="2:7" ht="21">
      <c r="B3" s="122" t="s">
        <v>251</v>
      </c>
      <c r="C3" s="230"/>
      <c r="D3" s="230"/>
      <c r="E3" s="230"/>
      <c r="F3" s="230"/>
      <c r="G3" s="230"/>
    </row>
    <row r="4" spans="2:7" ht="13.5">
      <c r="B4" s="461" t="s">
        <v>252</v>
      </c>
      <c r="C4" s="457"/>
      <c r="D4" s="457"/>
      <c r="E4" s="457"/>
      <c r="F4" s="457"/>
      <c r="G4" s="457"/>
    </row>
  </sheetData>
  <sheetProtection/>
  <mergeCells count="1">
    <mergeCell ref="B4:G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Feuil14">
    <pageSetUpPr fitToPage="1"/>
  </sheetPr>
  <dimension ref="A1:G35"/>
  <sheetViews>
    <sheetView showGridLines="0" zoomScalePageLayoutView="0" workbookViewId="0" topLeftCell="A1">
      <selection activeCell="A16" sqref="A16"/>
    </sheetView>
  </sheetViews>
  <sheetFormatPr defaultColWidth="11.421875" defaultRowHeight="12.75"/>
  <cols>
    <col min="1" max="1" width="93.8515625" style="160" customWidth="1"/>
    <col min="2" max="2" width="12.00390625" style="115" customWidth="1"/>
    <col min="3" max="3" width="2.7109375" style="115" customWidth="1"/>
    <col min="4" max="4" width="15.421875" style="115" customWidth="1"/>
    <col min="5" max="5" width="19.57421875" style="115" customWidth="1"/>
    <col min="6" max="7" width="11.421875" style="115" customWidth="1"/>
    <col min="8" max="8" width="19.57421875" style="115" customWidth="1"/>
    <col min="9" max="16384" width="11.421875" style="115" customWidth="1"/>
  </cols>
  <sheetData>
    <row r="1" ht="22.5" customHeight="1">
      <c r="A1" s="274" t="s">
        <v>267</v>
      </c>
    </row>
    <row r="2" spans="1:3" ht="15">
      <c r="A2" s="160" t="str">
        <f>_xlfn.IFERROR(CONCATENATE(Saisie!C3," ",Saisie!C5," ",Saisie!C4),"")</f>
        <v>Mr et Mme Anne GERENTON</v>
      </c>
      <c r="B2" s="114"/>
      <c r="C2" s="114"/>
    </row>
    <row r="3" spans="1:3" ht="15">
      <c r="A3" s="160" t="str">
        <f>_xlfn.IFERROR(Saisie!C12,"")</f>
        <v>25 RUE DE LA REPUBLIQUE 75014 PARIS</v>
      </c>
      <c r="B3" s="114"/>
      <c r="C3" s="114"/>
    </row>
    <row r="4" spans="1:3" ht="15">
      <c r="A4" s="235" t="str">
        <f>_xlfn.IFERROR("Téléphone : "&amp;Saisie!C13,"")</f>
        <v>Téléphone : 0</v>
      </c>
      <c r="B4" s="114"/>
      <c r="C4" s="114"/>
    </row>
    <row r="5" spans="1:3" ht="15">
      <c r="A5" s="160" t="str">
        <f>_xlfn.IFERROR("Mail : "&amp;Saisie!C11,"")</f>
        <v>Mail : justin@lautomatiseur.fr</v>
      </c>
      <c r="B5" s="114"/>
      <c r="C5" s="114"/>
    </row>
    <row r="6" spans="1:3" ht="14.25" customHeight="1">
      <c r="A6" s="272" t="s">
        <v>265</v>
      </c>
      <c r="B6" s="114"/>
      <c r="C6" s="114"/>
    </row>
    <row r="7" spans="1:3" ht="39.75" customHeight="1">
      <c r="A7" s="273" t="str">
        <f>CONCATENATE(Saisie!I3," ",Saisie!I4," ",Saisie!I5)</f>
        <v>Mr et Mme THOMAS Anne</v>
      </c>
      <c r="B7" s="114"/>
      <c r="C7" s="114"/>
    </row>
    <row r="8" spans="1:3" ht="15">
      <c r="A8" s="273" t="str">
        <f>_xlfn.IFERROR(Saisie!F12,"")</f>
        <v>06000</v>
      </c>
      <c r="B8" s="114"/>
      <c r="C8" s="114"/>
    </row>
    <row r="9" spans="1:3" ht="15">
      <c r="A9" s="273" t="str">
        <f>_xlfn.IFERROR(Saisie!F11,"")</f>
        <v>Paris</v>
      </c>
      <c r="B9" s="114"/>
      <c r="C9" s="114"/>
    </row>
    <row r="10" spans="1:3" ht="15">
      <c r="A10" s="273" t="str">
        <f>_xlfn.IFERROR(Saisie!I6,"")</f>
        <v>justin@lautomatiseur.fr</v>
      </c>
      <c r="B10" s="114"/>
      <c r="C10" s="114"/>
    </row>
    <row r="11" spans="1:3" ht="15">
      <c r="A11" s="273" t="str">
        <f>_xlfn.IFERROR(Saisie!I7,"")</f>
        <v> </v>
      </c>
      <c r="B11" s="114"/>
      <c r="C11" s="114"/>
    </row>
    <row r="12" spans="1:7" ht="15">
      <c r="A12" s="160" t="str">
        <f>_xlfn.IFERROR(Saisie!C10&amp;" le "&amp;IF(DAY(Saisie!P14)&lt;10,"0"&amp;DAY(Saisie!P14),DAY(Saisie!P14))&amp;"/"&amp;IF(MONTH(Saisie!P14)&lt;10,"0"&amp;MONTH(Saisie!P14),MONTH(Saisie!P14))&amp;"/"&amp;YEAR(Saisie!P14),"")</f>
        <v>PARIS le 25/04/2020</v>
      </c>
      <c r="B12" s="114"/>
      <c r="C12" s="114"/>
      <c r="D12" s="193"/>
      <c r="E12" s="161"/>
      <c r="G12" s="162"/>
    </row>
    <row r="13" spans="1:2" ht="18" customHeight="1">
      <c r="A13" s="237" t="s">
        <v>268</v>
      </c>
      <c r="B13" s="197"/>
    </row>
    <row r="14" ht="12.75"/>
    <row r="15" ht="25.5">
      <c r="A15" s="237" t="s">
        <v>269</v>
      </c>
    </row>
    <row r="16" ht="12.75"/>
    <row r="17" ht="15.75" customHeight="1">
      <c r="A17" s="198" t="str">
        <f>CONCATENATE(Saisie!I3," ",Saisie!I4," ",Saisie!I5,",")</f>
        <v>Mr et Mme THOMAS Anne,</v>
      </c>
    </row>
    <row r="18" ht="3" customHeight="1"/>
    <row r="19" ht="12.75">
      <c r="A19" s="237" t="str">
        <f>"Le "&amp;IF(DAY(Saisie!Z10)&lt;10,"0"&amp;DAY(Saisie!Z10),DAY(Saisie!Z10))&amp;"/"&amp;IF(MONTH(Saisie!Z10)&lt;10,"0"&amp;MONTH(Saisie!Z10),MONTH(Saisie!Z10))&amp;"/"&amp;YEAR(Saisie!Z10)&amp;", nous avons signé ensemble un bail de location pour le logement situé au :"</f>
        <v>Le 01/04/2019, nous avons signé ensemble un bail de location pour le logement situé au :</v>
      </c>
    </row>
    <row r="20" ht="21.75" customHeight="1">
      <c r="A20" s="238" t="str">
        <f>CONCATENATE(_xlfn.IFERROR(Saisie!F7,"")," ",_xlfn.IFERROR(Saisie!F8,"")," ",_xlfn.IFERROR(Saisie!F9,"")," ",_xlfn.IFERROR(Saisie!F10,"")," ",_xlfn.IFERROR(Saisie!F12,"")," "," ",_xlfn.IFERROR(Saisie!F11,"")," ")</f>
        <v>25 Rue de Paris - 06000  Paris </v>
      </c>
    </row>
    <row r="21" ht="12.75">
      <c r="A21" s="198"/>
    </row>
    <row r="22" spans="1:6" ht="26.25">
      <c r="A22" s="237" t="s">
        <v>270</v>
      </c>
      <c r="F22" s="241"/>
    </row>
    <row r="23" ht="6" customHeight="1">
      <c r="A23" s="198"/>
    </row>
    <row r="24" spans="1:6" ht="39">
      <c r="A24" s="237" t="str">
        <f ca="1">"Le bail prévoit donc la révision annuelle du loyer à la date du "&amp;IF(DAY(Saisie!Z10)&lt;10,"0"&amp;DAY(Saisie!Z10),DAY(Saisie!Z10))&amp;"/"&amp;IF(MONTH(Saisie!Z10)&lt;10,"0"&amp;MONTH(Saisie!Z10),MONTH(Saisie!Z10))&amp;"/"&amp;YEAR(NOW())&amp;" (date anniversaire précisée dans le bail) sur la base de l'augmentation de l'indice de référence des loyers du "&amp;numeroTrimIRL&amp;" trimestre "&amp;F24&amp;" (indice indiqué dans le bail), publié par l'Insee. "</f>
        <v>Le bail prévoit donc la révision annuelle du loyer à la date du 01/04/2020 (date anniversaire précisée dans le bail) sur la base de l'augmentation de l'indice de référence des loyers du 3ème trimestre 2018 (indice indiqué dans le bail), publié par l'Insee. </v>
      </c>
      <c r="E24" s="239" t="s">
        <v>277</v>
      </c>
      <c r="F24" s="239">
        <v>2018</v>
      </c>
    </row>
    <row r="25" spans="1:6" ht="12.75">
      <c r="A25" s="237"/>
      <c r="E25" s="239" t="s">
        <v>271</v>
      </c>
      <c r="F25" s="240" t="s">
        <v>274</v>
      </c>
    </row>
    <row r="26" spans="1:6" ht="15.75" customHeight="1">
      <c r="A26" s="237" t="str">
        <f ca="1">"Votre loyer hors charges s'établit donc à compter du "&amp;IF(DAY(Saisie!Z10)&lt;10,"0"&amp;DAY(Saisie!Z10),DAY(Saisie!Z10))&amp;"/"&amp;IF(MONTH(Saisie!Z10)&lt;10,"0"&amp;MONTH(Saisie!Z10),MONTH(Saisie!Z10))&amp;"/"&amp;YEAR(NOW())&amp;" à la somme suivante : "</f>
        <v>Votre loyer hors charges s'établit donc à compter du 01/04/2020 à la somme suivante : </v>
      </c>
      <c r="E26" s="239" t="s">
        <v>272</v>
      </c>
      <c r="F26" s="270">
        <v>129</v>
      </c>
    </row>
    <row r="27" spans="1:6" ht="12.75">
      <c r="A27" s="237"/>
      <c r="E27" s="239" t="s">
        <v>273</v>
      </c>
      <c r="F27" s="270">
        <v>130</v>
      </c>
    </row>
    <row r="28" spans="1:6" ht="25.5">
      <c r="A28" s="237" t="str">
        <f>"Montant du loyer hors charges ("&amp;montant_loyer&amp;"€) X nouvel indice applicable ("&amp;New_IRL&amp;") / ancien indice ("&amp;Montant_IRL_du_bail&amp;") = nouveau loyer hors charges soit : "</f>
        <v>Montant du loyer hors charges (350€) X nouvel indice applicable (130) / ancien indice (129) = nouveau loyer hors charges soit : </v>
      </c>
      <c r="E28" s="239" t="s">
        <v>275</v>
      </c>
      <c r="F28" s="271">
        <f>_xlfn.IFERROR(Saisie!F3,"")</f>
        <v>350</v>
      </c>
    </row>
    <row r="29" spans="1:6" ht="22.5" customHeight="1">
      <c r="A29" s="243" t="str">
        <f>nouveau_loyer&amp;"€"</f>
        <v>352,71€</v>
      </c>
      <c r="E29" s="239" t="s">
        <v>276</v>
      </c>
      <c r="F29" s="242">
        <f>ROUND(F28*F27/F26,2)</f>
        <v>352.71</v>
      </c>
    </row>
    <row r="30" spans="1:6" ht="25.5">
      <c r="A30" s="237" t="str">
        <f>"Je vous remercie de bien vouloir modifier le montant du règlement que vous m'adressez chaque mois. Soit le loyer + les charges ("&amp;Montant_charges&amp;"€) :  "</f>
        <v>Je vous remercie de bien vouloir modifier le montant du règlement que vous m'adressez chaque mois. Soit le loyer + les charges (0€) :  </v>
      </c>
      <c r="E30" s="239" t="s">
        <v>278</v>
      </c>
      <c r="F30" s="242">
        <f>_xlfn.IFERROR(ROUND(Saisie!F6,2),"")</f>
        <v>0</v>
      </c>
    </row>
    <row r="31" ht="22.5" customHeight="1">
      <c r="A31" s="243" t="str">
        <f>nouveau_loyer+Montant_charges&amp;"€."</f>
        <v>352,71€.</v>
      </c>
    </row>
    <row r="32" ht="12.75">
      <c r="A32" s="236" t="str">
        <f>"Je vous prie de croire, "&amp;CONCATENATE(Saisie!I3," ",Saisie!I4," ",Saisie!I5,",")&amp;" en l'assurance de ma considération distinguée."</f>
        <v>Je vous prie de croire, Mr et Mme THOMAS Anne, en l'assurance de ma considération distinguée.</v>
      </c>
    </row>
    <row r="33" ht="12.75"/>
    <row r="34" ht="12.75"/>
    <row r="35" ht="12.75">
      <c r="A35" s="244" t="str">
        <f>A2</f>
        <v>Mr et Mme Anne GERENTON</v>
      </c>
    </row>
    <row r="36" ht="12.75"/>
    <row r="37" ht="12.75"/>
    <row r="38" ht="12.75"/>
    <row r="39" ht="12.75"/>
    <row r="69" ht="12.75"/>
    <row r="70" ht="12.75"/>
    <row r="71" ht="12.75"/>
    <row r="72" ht="12.75"/>
    <row r="73" ht="12.75"/>
    <row r="74" ht="12.75"/>
    <row r="75" ht="12.75"/>
    <row r="76" ht="12.75"/>
    <row r="97" ht="12.75"/>
    <row r="98" ht="12.75"/>
    <row r="99" ht="12.75"/>
    <row r="100" ht="12.75"/>
    <row r="101" ht="12.75"/>
    <row r="102" ht="12.75"/>
    <row r="103" ht="12.75"/>
    <row r="104" ht="12.75"/>
    <row r="186" ht="12.75"/>
    <row r="187" ht="12.75"/>
    <row r="188" ht="12.75"/>
    <row r="189" ht="12.75"/>
    <row r="190" ht="12.75"/>
  </sheetData>
  <sheetProtection/>
  <printOptions/>
  <pageMargins left="0.4330708661417323" right="0.2362204724409449" top="0.7480314960629921" bottom="0.7480314960629921"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M23"/>
  <sheetViews>
    <sheetView zoomScale="120" zoomScaleNormal="120" zoomScalePageLayoutView="0" workbookViewId="0" topLeftCell="A1">
      <selection activeCell="B18" sqref="B18"/>
    </sheetView>
  </sheetViews>
  <sheetFormatPr defaultColWidth="11.421875" defaultRowHeight="12.75"/>
  <cols>
    <col min="1" max="1" width="25.57421875" style="168" customWidth="1"/>
    <col min="2" max="2" width="50.57421875" style="168" customWidth="1"/>
    <col min="3" max="3" width="5.140625" style="168" customWidth="1"/>
    <col min="4" max="4" width="5.28125" style="168" customWidth="1"/>
    <col min="5" max="5" width="6.140625" style="168" customWidth="1"/>
    <col min="6" max="7" width="11.421875" style="168" customWidth="1"/>
    <col min="8" max="8" width="3.8515625" style="168" customWidth="1"/>
    <col min="9" max="9" width="12.28125" style="168" hidden="1" customWidth="1"/>
    <col min="10" max="10" width="8.28125" style="168" hidden="1" customWidth="1"/>
    <col min="11" max="11" width="12.140625" style="168" customWidth="1"/>
    <col min="12" max="13" width="0" style="168" hidden="1" customWidth="1"/>
    <col min="14" max="16384" width="11.421875" style="168" customWidth="1"/>
  </cols>
  <sheetData>
    <row r="1" spans="1:10" ht="15" thickBot="1">
      <c r="A1" s="245" t="s">
        <v>206</v>
      </c>
      <c r="B1" s="246" t="str">
        <f>J5</f>
        <v>justin@lautomatiseur.fr</v>
      </c>
      <c r="C1" s="247"/>
      <c r="D1" s="247"/>
      <c r="E1" s="247"/>
      <c r="F1" s="247"/>
      <c r="G1" s="247"/>
      <c r="H1" s="167"/>
      <c r="I1" s="167"/>
      <c r="J1" s="167"/>
    </row>
    <row r="2" spans="1:13" ht="15" thickBot="1">
      <c r="A2" s="245" t="s">
        <v>207</v>
      </c>
      <c r="B2" s="248" t="str">
        <f>"Votre "&amp;IF(C2="Quittance","quittance : ","avis d'écheance : ")&amp;M2&amp;" "&amp;YEAR(Saisie!P12)</f>
        <v>Votre quittance : mai 2020</v>
      </c>
      <c r="C2" s="292" t="s">
        <v>260</v>
      </c>
      <c r="D2" s="293"/>
      <c r="E2" s="247"/>
      <c r="F2" s="247"/>
      <c r="G2" s="247"/>
      <c r="H2" s="167"/>
      <c r="I2" s="169" t="s">
        <v>10</v>
      </c>
      <c r="J2" s="170" t="str">
        <f>_xlfn.IFERROR(Saisie!I3,"")</f>
        <v>Mr et Mme</v>
      </c>
      <c r="L2" s="195">
        <f>Saisie!P12</f>
        <v>43982</v>
      </c>
      <c r="M2" s="168" t="str">
        <f>TEXT(L2,"mmmmmmmmmmmm")</f>
        <v>mai</v>
      </c>
    </row>
    <row r="3" spans="1:10" ht="15" customHeight="1">
      <c r="A3" s="294" t="s">
        <v>208</v>
      </c>
      <c r="B3" s="283" t="str">
        <f>"Bonjour "&amp;J2&amp;" "&amp;J3&amp;",
Vous trouverez ci-joint votre "&amp;IF(C2="Quittance","quittance","avis d'écheance")&amp;" pour le mois : "&amp;M2&amp;" "&amp;YEAR(Saisie!P12)&amp;"
Cordialement
"&amp;Saisie!C15</f>
        <v>Bonjour Mr et Mme THOMAS,
Vous trouverez ci-joint votre quittance pour le mois : mai 2020
Cordialement
THE GERENTON TEAM</v>
      </c>
      <c r="C3" s="284"/>
      <c r="D3" s="284"/>
      <c r="E3" s="284"/>
      <c r="F3" s="284"/>
      <c r="G3" s="285"/>
      <c r="H3" s="167"/>
      <c r="I3" s="171" t="s">
        <v>3</v>
      </c>
      <c r="J3" s="172" t="str">
        <f>_xlfn.IFERROR(Saisie!I4,"")</f>
        <v>THOMAS</v>
      </c>
    </row>
    <row r="4" spans="1:10" ht="14.25">
      <c r="A4" s="294"/>
      <c r="B4" s="286"/>
      <c r="C4" s="287"/>
      <c r="D4" s="287"/>
      <c r="E4" s="287"/>
      <c r="F4" s="287"/>
      <c r="G4" s="288"/>
      <c r="H4" s="167"/>
      <c r="I4" s="171" t="s">
        <v>6</v>
      </c>
      <c r="J4" s="172" t="str">
        <f>_xlfn.IFERROR(Saisie!I5,"")</f>
        <v>Anne</v>
      </c>
    </row>
    <row r="5" spans="1:10" ht="14.25">
      <c r="A5" s="294"/>
      <c r="B5" s="286"/>
      <c r="C5" s="287"/>
      <c r="D5" s="287"/>
      <c r="E5" s="287"/>
      <c r="F5" s="287"/>
      <c r="G5" s="288"/>
      <c r="H5" s="167"/>
      <c r="I5" s="171" t="s">
        <v>37</v>
      </c>
      <c r="J5" s="172" t="str">
        <f>_xlfn.IFERROR(Saisie!I6,"")</f>
        <v>justin@lautomatiseur.fr</v>
      </c>
    </row>
    <row r="6" spans="1:10" ht="15" thickBot="1">
      <c r="A6" s="294"/>
      <c r="B6" s="286"/>
      <c r="C6" s="287"/>
      <c r="D6" s="287"/>
      <c r="E6" s="287"/>
      <c r="F6" s="287"/>
      <c r="G6" s="288"/>
      <c r="H6" s="167"/>
      <c r="I6" s="173" t="s">
        <v>209</v>
      </c>
      <c r="J6" s="174" t="str">
        <f>_xlfn.IFERROR(Saisie!I7,"")</f>
        <v> </v>
      </c>
    </row>
    <row r="7" spans="1:10" ht="14.25">
      <c r="A7" s="294"/>
      <c r="B7" s="286"/>
      <c r="C7" s="287"/>
      <c r="D7" s="287"/>
      <c r="E7" s="287"/>
      <c r="F7" s="287"/>
      <c r="G7" s="288"/>
      <c r="H7" s="167"/>
      <c r="I7" s="167"/>
      <c r="J7" s="167"/>
    </row>
    <row r="8" spans="1:10" ht="14.25">
      <c r="A8" s="294"/>
      <c r="B8" s="286"/>
      <c r="C8" s="287"/>
      <c r="D8" s="287"/>
      <c r="E8" s="287"/>
      <c r="F8" s="287"/>
      <c r="G8" s="288"/>
      <c r="H8" s="167"/>
      <c r="I8" s="167"/>
      <c r="J8" s="167"/>
    </row>
    <row r="9" spans="1:10" ht="15" thickBot="1">
      <c r="A9" s="294"/>
      <c r="B9" s="286"/>
      <c r="C9" s="287"/>
      <c r="D9" s="287"/>
      <c r="E9" s="287"/>
      <c r="F9" s="287"/>
      <c r="G9" s="288"/>
      <c r="H9" s="167"/>
      <c r="I9" s="167"/>
      <c r="J9" s="167"/>
    </row>
    <row r="10" spans="1:10" ht="15" thickBot="1">
      <c r="A10" s="294"/>
      <c r="B10" s="289"/>
      <c r="C10" s="290"/>
      <c r="D10" s="290"/>
      <c r="E10" s="290"/>
      <c r="F10" s="290"/>
      <c r="G10" s="291"/>
      <c r="H10" s="167"/>
      <c r="I10" s="175" t="s">
        <v>215</v>
      </c>
      <c r="J10" s="176">
        <v>2018</v>
      </c>
    </row>
    <row r="11" spans="1:10" ht="15" thickBot="1">
      <c r="A11" s="245" t="s">
        <v>280</v>
      </c>
      <c r="B11" s="248" t="str">
        <f>YEAR(Saisie!P12)&amp;"-"&amp;IF(MONTH(Saisie!P12)&lt;10,0&amp;MONTH(Saisie!P12),MONTH(Saisie!P12))&amp;"_"&amp;IF(C2="Quittance","Quittance","AvisEcheance")&amp;"_"&amp;J3&amp;".pdf"</f>
        <v>2020-05_Quittance_THOMAS.pdf</v>
      </c>
      <c r="C11" s="247"/>
      <c r="D11" s="247"/>
      <c r="E11" s="247"/>
      <c r="F11" s="247"/>
      <c r="G11" s="247"/>
      <c r="H11" s="167"/>
      <c r="I11" s="177" t="s">
        <v>216</v>
      </c>
      <c r="J11" s="178">
        <f>MONTH(Saisie!P12)</f>
        <v>5</v>
      </c>
    </row>
    <row r="12" spans="1:10" ht="14.25">
      <c r="A12" s="167"/>
      <c r="B12" s="167"/>
      <c r="C12" s="167"/>
      <c r="D12" s="167"/>
      <c r="E12" s="167"/>
      <c r="F12" s="167"/>
      <c r="G12" s="167"/>
      <c r="H12" s="167"/>
      <c r="I12" s="167"/>
      <c r="J12" s="167"/>
    </row>
    <row r="13" spans="1:10" ht="22.5" customHeight="1">
      <c r="A13" s="167"/>
      <c r="B13" s="167"/>
      <c r="C13" s="167"/>
      <c r="D13" s="167"/>
      <c r="E13" s="167"/>
      <c r="F13" s="167"/>
      <c r="G13" s="167"/>
      <c r="H13" s="167"/>
      <c r="I13" s="167"/>
      <c r="J13" s="167"/>
    </row>
    <row r="14" spans="1:10" ht="14.25">
      <c r="A14" s="167"/>
      <c r="B14" s="167"/>
      <c r="C14" s="167"/>
      <c r="D14" s="167"/>
      <c r="E14" s="167"/>
      <c r="F14" s="167"/>
      <c r="G14" s="167"/>
      <c r="H14" s="167"/>
      <c r="I14" s="167"/>
      <c r="J14" s="167"/>
    </row>
    <row r="15" spans="1:10" ht="14.25">
      <c r="A15" s="167"/>
      <c r="B15" s="167"/>
      <c r="C15" s="167"/>
      <c r="D15" s="167"/>
      <c r="E15" s="167"/>
      <c r="F15" s="167"/>
      <c r="G15" s="167"/>
      <c r="H15" s="167"/>
      <c r="I15" s="167"/>
      <c r="J15" s="167"/>
    </row>
    <row r="16" spans="1:10" ht="14.25">
      <c r="A16" s="167"/>
      <c r="B16" s="167"/>
      <c r="C16" s="167"/>
      <c r="D16" s="167"/>
      <c r="E16" s="167"/>
      <c r="F16" s="167"/>
      <c r="G16" s="167"/>
      <c r="H16" s="167"/>
      <c r="I16" s="167"/>
      <c r="J16" s="167"/>
    </row>
    <row r="17" spans="1:10" ht="14.25">
      <c r="A17" s="167"/>
      <c r="B17" s="167"/>
      <c r="C17" s="167"/>
      <c r="D17" s="167"/>
      <c r="E17" s="167"/>
      <c r="F17" s="167"/>
      <c r="G17" s="167"/>
      <c r="H17" s="167"/>
      <c r="I17" s="167"/>
      <c r="J17" s="167"/>
    </row>
    <row r="18" spans="1:10" ht="14.25">
      <c r="A18" s="167"/>
      <c r="B18" s="167"/>
      <c r="C18" s="167"/>
      <c r="D18" s="167"/>
      <c r="E18" s="167"/>
      <c r="F18" s="167"/>
      <c r="G18" s="167"/>
      <c r="H18" s="167"/>
      <c r="I18" s="167"/>
      <c r="J18" s="167"/>
    </row>
    <row r="19" spans="1:10" ht="14.25">
      <c r="A19" s="167"/>
      <c r="B19" s="167"/>
      <c r="C19" s="167"/>
      <c r="D19" s="167"/>
      <c r="E19" s="167"/>
      <c r="F19" s="167"/>
      <c r="G19" s="167"/>
      <c r="H19" s="167"/>
      <c r="I19" s="167"/>
      <c r="J19" s="167"/>
    </row>
    <row r="20" spans="1:10" ht="14.25">
      <c r="A20" s="167"/>
      <c r="B20" s="167"/>
      <c r="C20" s="167"/>
      <c r="D20" s="167"/>
      <c r="E20" s="167"/>
      <c r="F20" s="167"/>
      <c r="G20" s="167"/>
      <c r="H20" s="167"/>
      <c r="I20" s="167"/>
      <c r="J20" s="167"/>
    </row>
    <row r="21" spans="1:10" ht="14.25">
      <c r="A21" s="167"/>
      <c r="B21" s="167"/>
      <c r="C21" s="167"/>
      <c r="D21" s="167"/>
      <c r="E21" s="167"/>
      <c r="F21" s="167"/>
      <c r="G21" s="167"/>
      <c r="H21" s="167"/>
      <c r="I21" s="167"/>
      <c r="J21" s="167"/>
    </row>
    <row r="22" spans="1:10" ht="14.25">
      <c r="A22" s="167"/>
      <c r="B22" s="167"/>
      <c r="C22" s="167"/>
      <c r="D22" s="167"/>
      <c r="E22" s="167"/>
      <c r="F22" s="167"/>
      <c r="G22" s="167"/>
      <c r="H22" s="167"/>
      <c r="I22" s="167"/>
      <c r="J22" s="167"/>
    </row>
    <row r="23" spans="1:10" ht="14.25">
      <c r="A23" s="167"/>
      <c r="B23" s="167"/>
      <c r="C23" s="167"/>
      <c r="D23" s="167"/>
      <c r="E23" s="167"/>
      <c r="F23" s="167"/>
      <c r="G23" s="167"/>
      <c r="H23" s="167"/>
      <c r="I23" s="167"/>
      <c r="J23" s="167"/>
    </row>
  </sheetData>
  <sheetProtection/>
  <mergeCells count="3">
    <mergeCell ref="B3:G10"/>
    <mergeCell ref="C2:D2"/>
    <mergeCell ref="A3:A10"/>
  </mergeCells>
  <dataValidations count="1">
    <dataValidation type="list" allowBlank="1" showInputMessage="1" showErrorMessage="1" sqref="C2:D2">
      <formula1>"Avis,Quittance"</formula1>
    </dataValidation>
  </dataValidations>
  <printOptions/>
  <pageMargins left="0.7" right="0.7" top="0.75" bottom="0.75" header="0.3" footer="0.3"/>
  <pageSetup horizontalDpi="600" verticalDpi="600" orientation="portrait" paperSize="9" r:id="rId2"/>
  <ignoredErrors>
    <ignoredError sqref="J11" unlockedFormula="1"/>
  </ignoredErrors>
  <drawing r:id="rId1"/>
</worksheet>
</file>

<file path=xl/worksheets/sheet3.xml><?xml version="1.0" encoding="utf-8"?>
<worksheet xmlns="http://schemas.openxmlformats.org/spreadsheetml/2006/main" xmlns:r="http://schemas.openxmlformats.org/officeDocument/2006/relationships">
  <sheetPr codeName="Feuil1"/>
  <dimension ref="A1:IV63"/>
  <sheetViews>
    <sheetView showGridLines="0" tabSelected="1" zoomScalePageLayoutView="0" workbookViewId="0" topLeftCell="A1">
      <pane xSplit="1" ySplit="2" topLeftCell="K3" activePane="bottomRight" state="frozen"/>
      <selection pane="topLeft" activeCell="A1" sqref="A1"/>
      <selection pane="topRight" activeCell="B1" sqref="B1"/>
      <selection pane="bottomLeft" activeCell="A3" sqref="A3"/>
      <selection pane="bottomRight" activeCell="AL13" sqref="AL13"/>
    </sheetView>
  </sheetViews>
  <sheetFormatPr defaultColWidth="11.421875" defaultRowHeight="12.75"/>
  <cols>
    <col min="1" max="1" width="1.8515625" style="22" hidden="1" customWidth="1"/>
    <col min="2" max="2" width="28.8515625" style="22" hidden="1" customWidth="1"/>
    <col min="3" max="3" width="50.421875" style="22" hidden="1" customWidth="1"/>
    <col min="4" max="4" width="3.28125" style="22" hidden="1" customWidth="1"/>
    <col min="5" max="5" width="36.421875" style="22" hidden="1" customWidth="1"/>
    <col min="6" max="6" width="39.00390625" style="22" hidden="1" customWidth="1"/>
    <col min="7" max="7" width="1.1484375" style="22" hidden="1" customWidth="1"/>
    <col min="8" max="8" width="25.57421875" style="22" hidden="1" customWidth="1"/>
    <col min="9" max="9" width="35.7109375" style="22" hidden="1" customWidth="1"/>
    <col min="10" max="10" width="9.421875" style="22" hidden="1" customWidth="1"/>
    <col min="11" max="11" width="0.71875" style="70" customWidth="1"/>
    <col min="12" max="12" width="43.7109375" style="70" customWidth="1"/>
    <col min="13" max="13" width="5.8515625" style="70" customWidth="1"/>
    <col min="14" max="14" width="5.7109375" style="70" customWidth="1"/>
    <col min="15" max="15" width="25.28125" style="70" customWidth="1"/>
    <col min="16" max="16" width="48.28125" style="70" customWidth="1"/>
    <col min="17" max="17" width="9.28125" style="70" customWidth="1"/>
    <col min="18" max="18" width="0.85546875" style="70" customWidth="1"/>
    <col min="19" max="19" width="1.28515625" style="70" hidden="1" customWidth="1"/>
    <col min="20" max="20" width="27.7109375" style="70" hidden="1" customWidth="1"/>
    <col min="21" max="21" width="62.00390625" style="70" hidden="1" customWidth="1"/>
    <col min="22" max="22" width="1.57421875" style="70" hidden="1" customWidth="1"/>
    <col min="23" max="23" width="23.140625" style="70" hidden="1" customWidth="1"/>
    <col min="24" max="24" width="1.7109375" style="70" hidden="1" customWidth="1"/>
    <col min="25" max="25" width="25.140625" style="70" hidden="1" customWidth="1"/>
    <col min="26" max="26" width="56.7109375" style="70" hidden="1" customWidth="1"/>
    <col min="27" max="27" width="1.8515625" style="70" hidden="1" customWidth="1"/>
    <col min="28" max="28" width="22.140625" style="70" hidden="1" customWidth="1"/>
    <col min="29" max="29" width="47.57421875" style="70" hidden="1" customWidth="1"/>
    <col min="30" max="30" width="41.8515625" style="70" hidden="1" customWidth="1"/>
    <col min="31" max="31" width="0.5625" style="70" hidden="1" customWidth="1"/>
    <col min="32" max="32" width="0.42578125" style="70" hidden="1" customWidth="1"/>
    <col min="33" max="33" width="48.421875" style="70" hidden="1" customWidth="1"/>
    <col min="34" max="34" width="39.7109375" style="70" hidden="1" customWidth="1"/>
    <col min="35" max="35" width="24.421875" style="70" hidden="1" customWidth="1"/>
    <col min="36" max="36" width="3.00390625" style="70" customWidth="1"/>
    <col min="37" max="37" width="2.7109375" style="70" customWidth="1"/>
    <col min="38" max="38" width="38.7109375" style="70" customWidth="1"/>
    <col min="39" max="52" width="11.421875" style="70" customWidth="1"/>
    <col min="53" max="53" width="21.140625" style="252" customWidth="1"/>
    <col min="54" max="54" width="16.140625" style="252" customWidth="1"/>
    <col min="55" max="55" width="15.140625" style="252" customWidth="1"/>
    <col min="56" max="56" width="18.28125" style="252" customWidth="1"/>
    <col min="57" max="57" width="15.57421875" style="252" customWidth="1"/>
    <col min="58" max="58" width="43.421875" style="252" customWidth="1"/>
    <col min="59" max="59" width="34.140625" style="252" customWidth="1"/>
    <col min="60" max="60" width="27.421875" style="252" customWidth="1"/>
    <col min="61" max="104" width="11.421875" style="252" customWidth="1"/>
    <col min="105" max="110" width="11.421875" style="256" customWidth="1"/>
    <col min="111" max="111" width="11.421875" style="264" customWidth="1"/>
    <col min="112" max="156" width="11.421875" style="256" customWidth="1"/>
    <col min="157" max="182" width="11.421875" style="252" customWidth="1"/>
    <col min="183" max="16384" width="11.421875" style="261" customWidth="1"/>
  </cols>
  <sheetData>
    <row r="1" spans="1:256" s="259" customFormat="1" ht="10.5" customHeight="1">
      <c r="A1" s="22"/>
      <c r="B1" s="45" t="s">
        <v>17</v>
      </c>
      <c r="C1" s="152" t="str">
        <f>IF(Bailleur&lt;&gt;"",Bailleur,"")</f>
        <v>GERENTON</v>
      </c>
      <c r="D1" s="22"/>
      <c r="E1" s="2" t="s">
        <v>17</v>
      </c>
      <c r="F1" s="23" t="str">
        <f>IF(L15&lt;&gt;"",L15,"")</f>
        <v>Mon 3eme appart</v>
      </c>
      <c r="G1" s="22"/>
      <c r="H1" s="2" t="s">
        <v>17</v>
      </c>
      <c r="I1" s="53" t="str">
        <f>IF(ISNA(F30),"",F30)</f>
        <v>THOMAS</v>
      </c>
      <c r="J1" s="22"/>
      <c r="K1" s="66"/>
      <c r="L1" s="66"/>
      <c r="M1" s="66"/>
      <c r="N1" s="66"/>
      <c r="O1" s="66"/>
      <c r="P1" s="66"/>
      <c r="Q1" s="66"/>
      <c r="R1" s="66"/>
      <c r="S1" s="66"/>
      <c r="T1" s="66"/>
      <c r="U1" s="66"/>
      <c r="V1" s="66"/>
      <c r="W1" s="66"/>
      <c r="X1" s="66"/>
      <c r="Y1" s="66"/>
      <c r="Z1" s="66"/>
      <c r="AA1" s="66"/>
      <c r="AB1" s="66"/>
      <c r="AC1" s="214"/>
      <c r="AD1" s="66"/>
      <c r="AE1" s="66"/>
      <c r="AF1" s="216"/>
      <c r="AG1" s="214"/>
      <c r="AH1" s="215"/>
      <c r="AI1" s="66"/>
      <c r="AJ1" s="66"/>
      <c r="AK1" s="66"/>
      <c r="AL1" s="66"/>
      <c r="AM1" s="66"/>
      <c r="AN1" s="66"/>
      <c r="AO1" s="66"/>
      <c r="AP1" s="66"/>
      <c r="AQ1" s="66"/>
      <c r="AR1" s="66"/>
      <c r="AS1" s="66"/>
      <c r="AT1" s="66"/>
      <c r="AU1" s="66"/>
      <c r="AV1" s="66"/>
      <c r="AW1" s="66"/>
      <c r="AX1" s="66"/>
      <c r="AY1" s="66"/>
      <c r="AZ1" s="66"/>
      <c r="BA1" s="251" t="s">
        <v>3</v>
      </c>
      <c r="BB1" s="251" t="s">
        <v>10</v>
      </c>
      <c r="BC1" s="251" t="s">
        <v>6</v>
      </c>
      <c r="BD1" s="251" t="s">
        <v>19</v>
      </c>
      <c r="BE1" s="251" t="s">
        <v>37</v>
      </c>
      <c r="BF1" s="251" t="s">
        <v>39</v>
      </c>
      <c r="BG1" s="251" t="s">
        <v>38</v>
      </c>
      <c r="BH1" s="251" t="s">
        <v>74</v>
      </c>
      <c r="BI1" s="251" t="s">
        <v>284</v>
      </c>
      <c r="BJ1" s="251"/>
      <c r="BK1" s="251"/>
      <c r="BL1" s="251"/>
      <c r="BM1" s="251"/>
      <c r="BN1" s="251"/>
      <c r="BO1" s="251"/>
      <c r="BP1" s="251"/>
      <c r="BQ1" s="251"/>
      <c r="BR1" s="251"/>
      <c r="BS1" s="251"/>
      <c r="BT1" s="251"/>
      <c r="BU1" s="251"/>
      <c r="BV1" s="251"/>
      <c r="BW1" s="251"/>
      <c r="BX1" s="251"/>
      <c r="BY1" s="251"/>
      <c r="BZ1" s="251"/>
      <c r="CA1" s="251" t="s">
        <v>3</v>
      </c>
      <c r="CB1" s="251" t="s">
        <v>10</v>
      </c>
      <c r="CC1" s="251" t="s">
        <v>4</v>
      </c>
      <c r="CD1" s="251" t="s">
        <v>37</v>
      </c>
      <c r="CE1" s="251" t="s">
        <v>38</v>
      </c>
      <c r="CF1" s="251" t="s">
        <v>285</v>
      </c>
      <c r="CG1" s="251" t="s">
        <v>286</v>
      </c>
      <c r="CH1" s="251"/>
      <c r="CI1" s="251"/>
      <c r="CJ1" s="251"/>
      <c r="CK1" s="251"/>
      <c r="CL1" s="251"/>
      <c r="CM1" s="251"/>
      <c r="CN1" s="251"/>
      <c r="CO1" s="251"/>
      <c r="CP1" s="251"/>
      <c r="CQ1" s="251"/>
      <c r="CR1" s="251"/>
      <c r="CS1" s="251"/>
      <c r="CT1" s="251"/>
      <c r="CU1" s="251"/>
      <c r="CV1" s="251"/>
      <c r="CW1" s="251"/>
      <c r="CX1" s="251"/>
      <c r="CY1" s="251"/>
      <c r="CZ1" s="251"/>
      <c r="DA1" s="255" t="s">
        <v>3</v>
      </c>
      <c r="DB1" s="255" t="s">
        <v>7</v>
      </c>
      <c r="DC1" s="255" t="s">
        <v>9</v>
      </c>
      <c r="DD1" s="255" t="s">
        <v>8</v>
      </c>
      <c r="DE1" s="255" t="s">
        <v>2</v>
      </c>
      <c r="DF1" s="255" t="s">
        <v>1</v>
      </c>
      <c r="DG1" s="263" t="s">
        <v>11</v>
      </c>
      <c r="DH1" s="255" t="s">
        <v>12</v>
      </c>
      <c r="DI1" s="255" t="s">
        <v>183</v>
      </c>
      <c r="DJ1" s="255" t="s">
        <v>184</v>
      </c>
      <c r="DK1" s="255" t="s">
        <v>36</v>
      </c>
      <c r="DL1" s="255" t="s">
        <v>33</v>
      </c>
      <c r="DM1" s="255" t="s">
        <v>34</v>
      </c>
      <c r="DN1" s="255" t="s">
        <v>35</v>
      </c>
      <c r="DO1" s="255" t="s">
        <v>60</v>
      </c>
      <c r="DP1" s="255" t="s">
        <v>28</v>
      </c>
      <c r="DQ1" s="255" t="s">
        <v>23</v>
      </c>
      <c r="DR1" s="255" t="s">
        <v>24</v>
      </c>
      <c r="DS1" s="255" t="s">
        <v>25</v>
      </c>
      <c r="DT1" s="255" t="s">
        <v>43</v>
      </c>
      <c r="DU1" s="255" t="s">
        <v>44</v>
      </c>
      <c r="DV1" s="255" t="s">
        <v>46</v>
      </c>
      <c r="DW1" s="255" t="s">
        <v>45</v>
      </c>
      <c r="DX1" s="255" t="s">
        <v>66</v>
      </c>
      <c r="DY1" s="255" t="s">
        <v>26</v>
      </c>
      <c r="DZ1" s="255" t="s">
        <v>27</v>
      </c>
      <c r="EA1" s="255" t="s">
        <v>73</v>
      </c>
      <c r="EB1" s="255" t="s">
        <v>76</v>
      </c>
      <c r="EC1" s="255" t="s">
        <v>21</v>
      </c>
      <c r="ED1" s="255" t="s">
        <v>86</v>
      </c>
      <c r="EE1" s="255" t="s">
        <v>88</v>
      </c>
      <c r="EF1" s="255" t="s">
        <v>87</v>
      </c>
      <c r="EG1" s="255" t="s">
        <v>89</v>
      </c>
      <c r="EH1" s="255" t="s">
        <v>90</v>
      </c>
      <c r="EI1" s="255" t="s">
        <v>91</v>
      </c>
      <c r="EJ1" s="255" t="s">
        <v>92</v>
      </c>
      <c r="EK1" s="255" t="s">
        <v>96</v>
      </c>
      <c r="EL1" s="255" t="s">
        <v>97</v>
      </c>
      <c r="EM1" s="255" t="s">
        <v>287</v>
      </c>
      <c r="EN1" s="255"/>
      <c r="EO1" s="255"/>
      <c r="EP1" s="255"/>
      <c r="EQ1" s="255"/>
      <c r="ER1" s="255"/>
      <c r="ES1" s="255"/>
      <c r="ET1" s="255"/>
      <c r="EU1" s="255"/>
      <c r="EV1" s="255"/>
      <c r="EW1" s="255"/>
      <c r="EX1" s="255"/>
      <c r="EY1" s="255"/>
      <c r="EZ1" s="255"/>
      <c r="FA1" s="251"/>
      <c r="FB1" s="251"/>
      <c r="FC1" s="251"/>
      <c r="FD1" s="251"/>
      <c r="FE1" s="251"/>
      <c r="FF1" s="251"/>
      <c r="FG1" s="251"/>
      <c r="FH1" s="251"/>
      <c r="FI1" s="251"/>
      <c r="FJ1" s="251"/>
      <c r="FK1" s="251"/>
      <c r="FL1" s="251"/>
      <c r="FM1" s="251"/>
      <c r="FN1" s="251"/>
      <c r="FO1" s="251"/>
      <c r="FP1" s="251"/>
      <c r="FQ1" s="251"/>
      <c r="FR1" s="251"/>
      <c r="FS1" s="251"/>
      <c r="FT1" s="251"/>
      <c r="FU1" s="251"/>
      <c r="FV1" s="251"/>
      <c r="FW1" s="251"/>
      <c r="FX1" s="251"/>
      <c r="FY1" s="251"/>
      <c r="FZ1" s="251"/>
      <c r="GA1" s="251"/>
      <c r="GB1" s="251"/>
      <c r="GC1" s="251"/>
      <c r="GD1" s="251"/>
      <c r="GE1" s="251"/>
      <c r="GF1" s="251"/>
      <c r="GG1" s="251"/>
      <c r="GH1" s="251"/>
      <c r="GI1" s="251"/>
      <c r="GJ1" s="251"/>
      <c r="GK1" s="251"/>
      <c r="GL1" s="251"/>
      <c r="GM1" s="251"/>
      <c r="GN1" s="251"/>
      <c r="GO1" s="251"/>
      <c r="GP1" s="251"/>
      <c r="GQ1" s="251"/>
      <c r="GR1" s="251"/>
      <c r="GS1" s="251"/>
      <c r="GT1" s="251"/>
      <c r="GU1" s="251"/>
      <c r="GV1" s="251"/>
      <c r="GW1" s="251"/>
      <c r="GX1" s="251"/>
      <c r="GY1" s="251"/>
      <c r="GZ1" s="251"/>
      <c r="HA1" s="251"/>
      <c r="HB1" s="251"/>
      <c r="HC1" s="251"/>
      <c r="HD1" s="251"/>
      <c r="HE1" s="251"/>
      <c r="HF1" s="251"/>
      <c r="HG1" s="251"/>
      <c r="HH1" s="251"/>
      <c r="HI1" s="251"/>
      <c r="HJ1" s="251"/>
      <c r="HK1" s="251"/>
      <c r="HL1" s="251"/>
      <c r="HM1" s="251"/>
      <c r="HN1" s="251"/>
      <c r="HO1" s="251"/>
      <c r="HP1" s="251"/>
      <c r="HQ1" s="251"/>
      <c r="HR1" s="251"/>
      <c r="HS1" s="251"/>
      <c r="HT1" s="251"/>
      <c r="HU1" s="251"/>
      <c r="HV1" s="251"/>
      <c r="HW1" s="251"/>
      <c r="HX1" s="251"/>
      <c r="HY1" s="251"/>
      <c r="HZ1" s="251"/>
      <c r="IA1" s="251"/>
      <c r="IB1" s="251"/>
      <c r="IC1" s="251"/>
      <c r="ID1" s="251"/>
      <c r="IE1" s="251"/>
      <c r="IF1" s="251"/>
      <c r="IG1" s="251"/>
      <c r="IH1" s="251"/>
      <c r="II1" s="251"/>
      <c r="IJ1" s="251"/>
      <c r="IK1" s="251"/>
      <c r="IL1" s="251"/>
      <c r="IM1" s="251"/>
      <c r="IN1" s="251"/>
      <c r="IO1" s="251"/>
      <c r="IP1" s="251"/>
      <c r="IQ1" s="251"/>
      <c r="IR1" s="251"/>
      <c r="IS1" s="251"/>
      <c r="IT1" s="251"/>
      <c r="IU1" s="251"/>
      <c r="IV1" s="251">
        <v>1</v>
      </c>
    </row>
    <row r="2" spans="1:256" s="260" customFormat="1" ht="5.25" customHeight="1" thickBot="1">
      <c r="A2" s="3"/>
      <c r="B2" s="296" t="s">
        <v>16</v>
      </c>
      <c r="C2" s="296"/>
      <c r="D2" s="3"/>
      <c r="E2" s="296" t="s">
        <v>15</v>
      </c>
      <c r="F2" s="296"/>
      <c r="G2" s="3"/>
      <c r="H2" s="295" t="s">
        <v>21</v>
      </c>
      <c r="I2" s="295"/>
      <c r="J2" s="3"/>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251" t="s">
        <v>288</v>
      </c>
      <c r="BB2" s="251" t="s">
        <v>238</v>
      </c>
      <c r="BC2" s="251" t="s">
        <v>198</v>
      </c>
      <c r="BD2" s="251" t="s">
        <v>261</v>
      </c>
      <c r="BE2" s="251" t="s">
        <v>262</v>
      </c>
      <c r="BF2" s="251" t="s">
        <v>289</v>
      </c>
      <c r="BG2" s="251" t="s">
        <v>199</v>
      </c>
      <c r="BH2" s="251" t="s">
        <v>290</v>
      </c>
      <c r="BI2" s="251" t="s">
        <v>291</v>
      </c>
      <c r="BJ2" s="251"/>
      <c r="BK2" s="251"/>
      <c r="BL2" s="251"/>
      <c r="BM2" s="251"/>
      <c r="BN2" s="251"/>
      <c r="BO2" s="251"/>
      <c r="BP2" s="251"/>
      <c r="BQ2" s="251"/>
      <c r="BR2" s="251"/>
      <c r="BS2" s="251"/>
      <c r="BT2" s="251"/>
      <c r="BU2" s="251"/>
      <c r="BV2" s="251"/>
      <c r="BW2" s="251"/>
      <c r="BX2" s="251"/>
      <c r="BY2" s="251"/>
      <c r="BZ2" s="251"/>
      <c r="CA2" s="252" t="s">
        <v>332</v>
      </c>
      <c r="CB2" s="252" t="s">
        <v>185</v>
      </c>
      <c r="CC2" s="252" t="s">
        <v>330</v>
      </c>
      <c r="CD2" s="252" t="s">
        <v>262</v>
      </c>
      <c r="CE2" s="252" t="s">
        <v>292</v>
      </c>
      <c r="CF2" s="252">
        <v>43617</v>
      </c>
      <c r="CG2" s="252">
        <v>44064</v>
      </c>
      <c r="CH2" s="252"/>
      <c r="CI2" s="252"/>
      <c r="CJ2" s="252"/>
      <c r="CK2" s="251"/>
      <c r="CL2" s="251"/>
      <c r="CM2" s="251"/>
      <c r="CN2" s="251"/>
      <c r="CO2" s="251"/>
      <c r="CP2" s="251"/>
      <c r="CQ2" s="251"/>
      <c r="CR2" s="251"/>
      <c r="CS2" s="251"/>
      <c r="CT2" s="251"/>
      <c r="CU2" s="251"/>
      <c r="CV2" s="251"/>
      <c r="CW2" s="251"/>
      <c r="CX2" s="251"/>
      <c r="CY2" s="251"/>
      <c r="CZ2" s="251"/>
      <c r="DA2" s="256" t="s">
        <v>293</v>
      </c>
      <c r="DB2" s="256">
        <v>25</v>
      </c>
      <c r="DC2" s="256" t="s">
        <v>8</v>
      </c>
      <c r="DD2" s="256" t="s">
        <v>294</v>
      </c>
      <c r="DE2" s="256" t="s">
        <v>295</v>
      </c>
      <c r="DF2" s="256" t="s">
        <v>313</v>
      </c>
      <c r="DG2" s="264">
        <v>350</v>
      </c>
      <c r="DH2" s="256" t="s">
        <v>296</v>
      </c>
      <c r="DI2" s="256" t="s">
        <v>187</v>
      </c>
      <c r="DJ2" s="257">
        <v>0</v>
      </c>
      <c r="DK2" s="257">
        <v>350</v>
      </c>
      <c r="DL2" s="256" t="s">
        <v>197</v>
      </c>
      <c r="DM2" s="256" t="s">
        <v>196</v>
      </c>
      <c r="DN2" s="256" t="s">
        <v>297</v>
      </c>
      <c r="DO2" s="256" t="s">
        <v>29</v>
      </c>
      <c r="DP2" s="256" t="s">
        <v>30</v>
      </c>
      <c r="DQ2" s="256" t="s">
        <v>31</v>
      </c>
      <c r="DR2" s="256" t="s">
        <v>298</v>
      </c>
      <c r="DS2" s="256">
        <v>3</v>
      </c>
      <c r="DT2" s="256">
        <v>2</v>
      </c>
      <c r="DU2" s="256">
        <v>1</v>
      </c>
      <c r="DV2" s="256">
        <v>1</v>
      </c>
      <c r="DW2" s="256" t="s">
        <v>127</v>
      </c>
      <c r="DX2" s="256">
        <v>1</v>
      </c>
      <c r="DY2" s="256" t="s">
        <v>32</v>
      </c>
      <c r="DZ2" s="256" t="s">
        <v>32</v>
      </c>
      <c r="EA2" s="258" t="s">
        <v>299</v>
      </c>
      <c r="EB2" s="256" t="s">
        <v>296</v>
      </c>
      <c r="EC2" s="256" t="s">
        <v>332</v>
      </c>
      <c r="ED2" s="256" t="s">
        <v>94</v>
      </c>
      <c r="EE2" s="256" t="s">
        <v>128</v>
      </c>
      <c r="EF2" s="256" t="s">
        <v>128</v>
      </c>
      <c r="EG2" s="256" t="s">
        <v>128</v>
      </c>
      <c r="EH2" s="256" t="s">
        <v>127</v>
      </c>
      <c r="EI2" s="256" t="s">
        <v>128</v>
      </c>
      <c r="EJ2" s="256" t="s">
        <v>127</v>
      </c>
      <c r="EK2" s="256" t="s">
        <v>128</v>
      </c>
      <c r="EL2" s="256" t="s">
        <v>128</v>
      </c>
      <c r="EM2" s="258" t="s">
        <v>316</v>
      </c>
      <c r="EN2" s="256" t="s">
        <v>300</v>
      </c>
      <c r="EO2" s="256"/>
      <c r="EP2" s="256"/>
      <c r="EQ2" s="256"/>
      <c r="ER2" s="256"/>
      <c r="ES2" s="256"/>
      <c r="ET2" s="256"/>
      <c r="EU2" s="256"/>
      <c r="EV2" s="256"/>
      <c r="EW2" s="256"/>
      <c r="EX2" s="256"/>
      <c r="EY2" s="256"/>
      <c r="EZ2" s="256"/>
      <c r="FA2" s="251"/>
      <c r="FB2" s="251"/>
      <c r="FC2" s="251"/>
      <c r="FD2" s="251"/>
      <c r="FE2" s="251"/>
      <c r="FF2" s="251"/>
      <c r="FG2" s="251"/>
      <c r="FH2" s="251"/>
      <c r="FI2" s="251"/>
      <c r="FJ2" s="251"/>
      <c r="FK2" s="251"/>
      <c r="FL2" s="251"/>
      <c r="FM2" s="251"/>
      <c r="FN2" s="251"/>
      <c r="FO2" s="251"/>
      <c r="FP2" s="251"/>
      <c r="FQ2" s="251"/>
      <c r="FR2" s="251"/>
      <c r="FS2" s="251"/>
      <c r="FT2" s="251"/>
      <c r="FU2" s="251"/>
      <c r="FV2" s="251"/>
      <c r="FW2" s="251"/>
      <c r="FX2" s="251"/>
      <c r="FY2" s="251"/>
      <c r="FZ2" s="251"/>
      <c r="GA2" s="251"/>
      <c r="GB2" s="251"/>
      <c r="GC2" s="251"/>
      <c r="GD2" s="251"/>
      <c r="GE2" s="251"/>
      <c r="GF2" s="251"/>
      <c r="GG2" s="251"/>
      <c r="GH2" s="251"/>
      <c r="GI2" s="251"/>
      <c r="GJ2" s="251"/>
      <c r="GK2" s="251"/>
      <c r="GL2" s="251"/>
      <c r="GM2" s="251"/>
      <c r="GN2" s="251"/>
      <c r="GO2" s="251"/>
      <c r="GP2" s="251"/>
      <c r="GQ2" s="251"/>
      <c r="GR2" s="251"/>
      <c r="GS2" s="251"/>
      <c r="GT2" s="251"/>
      <c r="GU2" s="251"/>
      <c r="GV2" s="251"/>
      <c r="GW2" s="251"/>
      <c r="GX2" s="251"/>
      <c r="GY2" s="251"/>
      <c r="GZ2" s="251"/>
      <c r="HA2" s="251"/>
      <c r="HB2" s="251"/>
      <c r="HC2" s="251"/>
      <c r="HD2" s="251"/>
      <c r="HE2" s="251"/>
      <c r="HF2" s="251"/>
      <c r="HG2" s="251"/>
      <c r="HH2" s="251"/>
      <c r="HI2" s="251"/>
      <c r="HJ2" s="251"/>
      <c r="HK2" s="251"/>
      <c r="HL2" s="251"/>
      <c r="HM2" s="251"/>
      <c r="HN2" s="251"/>
      <c r="HO2" s="251"/>
      <c r="HP2" s="251"/>
      <c r="HQ2" s="251"/>
      <c r="HR2" s="251"/>
      <c r="HS2" s="251"/>
      <c r="HT2" s="251"/>
      <c r="HU2" s="251"/>
      <c r="HV2" s="251"/>
      <c r="HW2" s="251"/>
      <c r="HX2" s="251"/>
      <c r="HY2" s="251"/>
      <c r="HZ2" s="251"/>
      <c r="IA2" s="251"/>
      <c r="IB2" s="251"/>
      <c r="IC2" s="251"/>
      <c r="ID2" s="251"/>
      <c r="IE2" s="251"/>
      <c r="IF2" s="251"/>
      <c r="IG2" s="251"/>
      <c r="IH2" s="251"/>
      <c r="II2" s="251"/>
      <c r="IJ2" s="251"/>
      <c r="IK2" s="251"/>
      <c r="IL2" s="251"/>
      <c r="IM2" s="251"/>
      <c r="IN2" s="251"/>
      <c r="IO2" s="251"/>
      <c r="IP2" s="251"/>
      <c r="IQ2" s="251"/>
      <c r="IR2" s="251"/>
      <c r="IS2" s="251"/>
      <c r="IT2" s="251"/>
      <c r="IU2" s="251"/>
      <c r="IV2" s="251"/>
    </row>
    <row r="3" spans="1:256" s="262" customFormat="1" ht="25.5" customHeight="1" thickBot="1" thickTop="1">
      <c r="A3" s="22"/>
      <c r="B3" s="59" t="s">
        <v>10</v>
      </c>
      <c r="C3" s="46" t="str">
        <f>VLOOKUP($C$1,BA:BK,2,FALSE)</f>
        <v>Mr et Mme</v>
      </c>
      <c r="D3" s="22"/>
      <c r="E3" s="57" t="s">
        <v>20</v>
      </c>
      <c r="F3" s="55">
        <f>VLOOKUP(F$1,DA:EZ,7,FALSE)</f>
        <v>350</v>
      </c>
      <c r="G3" s="22"/>
      <c r="H3" s="59" t="s">
        <v>10</v>
      </c>
      <c r="I3" s="46" t="str">
        <f>IF(VLOOKUP($I$1,CA:CG,2,FALSE)&lt;&gt;0,VLOOKUP($I$1,CA:CG,2,FALSE),"")</f>
        <v>Mr et Mme</v>
      </c>
      <c r="J3" s="22"/>
      <c r="K3" s="71"/>
      <c r="L3" s="71"/>
      <c r="M3" s="106"/>
      <c r="N3" s="71"/>
      <c r="O3" s="71"/>
      <c r="P3" s="71"/>
      <c r="Q3" s="71"/>
      <c r="R3" s="71"/>
      <c r="S3" s="306" t="s">
        <v>245</v>
      </c>
      <c r="T3" s="307"/>
      <c r="U3" s="307"/>
      <c r="V3" s="308"/>
      <c r="W3" s="71"/>
      <c r="X3" s="306" t="s">
        <v>259</v>
      </c>
      <c r="Y3" s="307"/>
      <c r="Z3" s="307"/>
      <c r="AA3" s="308"/>
      <c r="AB3" s="71"/>
      <c r="AC3" s="303" t="s">
        <v>246</v>
      </c>
      <c r="AD3" s="303"/>
      <c r="AE3" s="303"/>
      <c r="AF3" s="303"/>
      <c r="AG3" s="303"/>
      <c r="AH3" s="303"/>
      <c r="AI3" s="71"/>
      <c r="AJ3" s="71"/>
      <c r="AK3" s="71"/>
      <c r="AL3" s="71"/>
      <c r="AM3" s="71"/>
      <c r="AN3" s="71"/>
      <c r="AO3" s="71"/>
      <c r="AP3" s="71"/>
      <c r="AQ3" s="71"/>
      <c r="AR3" s="71"/>
      <c r="AS3" s="71"/>
      <c r="AT3" s="71"/>
      <c r="AU3" s="71"/>
      <c r="AV3" s="71"/>
      <c r="AW3" s="71"/>
      <c r="AX3" s="71"/>
      <c r="AY3" s="71"/>
      <c r="AZ3" s="71"/>
      <c r="BA3" s="252" t="s">
        <v>300</v>
      </c>
      <c r="BB3" s="252" t="s">
        <v>185</v>
      </c>
      <c r="BC3" s="252" t="s">
        <v>301</v>
      </c>
      <c r="BD3" s="252" t="s">
        <v>302</v>
      </c>
      <c r="BE3" s="252" t="s">
        <v>262</v>
      </c>
      <c r="BF3" s="252" t="s">
        <v>303</v>
      </c>
      <c r="BG3" s="252" t="s">
        <v>304</v>
      </c>
      <c r="BH3" s="252" t="s">
        <v>290</v>
      </c>
      <c r="BI3" s="253" t="s">
        <v>305</v>
      </c>
      <c r="BJ3" s="252"/>
      <c r="BK3" s="252"/>
      <c r="BL3" s="252"/>
      <c r="BM3" s="252"/>
      <c r="BN3" s="252"/>
      <c r="BO3" s="252"/>
      <c r="BP3" s="252"/>
      <c r="BQ3" s="252"/>
      <c r="BR3" s="252"/>
      <c r="BS3" s="252"/>
      <c r="BT3" s="252"/>
      <c r="BU3" s="252"/>
      <c r="BV3" s="252"/>
      <c r="BW3" s="252"/>
      <c r="BX3" s="252"/>
      <c r="BY3" s="252"/>
      <c r="BZ3" s="252"/>
      <c r="CA3" s="252" t="s">
        <v>306</v>
      </c>
      <c r="CB3" s="252" t="s">
        <v>220</v>
      </c>
      <c r="CC3" s="252" t="s">
        <v>307</v>
      </c>
      <c r="CD3" s="252" t="s">
        <v>262</v>
      </c>
      <c r="CE3" s="252" t="s">
        <v>308</v>
      </c>
      <c r="CF3" s="252">
        <v>43586</v>
      </c>
      <c r="CG3" s="252">
        <v>44094</v>
      </c>
      <c r="CH3" s="252"/>
      <c r="CI3" s="252"/>
      <c r="CJ3" s="252"/>
      <c r="CK3" s="252"/>
      <c r="CL3" s="252"/>
      <c r="CM3" s="252"/>
      <c r="CN3" s="252"/>
      <c r="CO3" s="252"/>
      <c r="CP3" s="252"/>
      <c r="CQ3" s="252"/>
      <c r="CR3" s="252"/>
      <c r="CS3" s="252"/>
      <c r="CT3" s="252"/>
      <c r="CU3" s="252"/>
      <c r="CV3" s="252"/>
      <c r="CW3" s="252"/>
      <c r="CX3" s="252"/>
      <c r="CY3" s="252"/>
      <c r="CZ3" s="252"/>
      <c r="DA3" s="256" t="s">
        <v>309</v>
      </c>
      <c r="DB3" s="256">
        <v>25</v>
      </c>
      <c r="DC3" s="256" t="s">
        <v>8</v>
      </c>
      <c r="DD3" s="256" t="s">
        <v>294</v>
      </c>
      <c r="DE3" s="256" t="s">
        <v>295</v>
      </c>
      <c r="DF3" s="256" t="s">
        <v>313</v>
      </c>
      <c r="DG3" s="264">
        <v>350</v>
      </c>
      <c r="DH3" s="256" t="s">
        <v>296</v>
      </c>
      <c r="DI3" s="256" t="s">
        <v>187</v>
      </c>
      <c r="DJ3" s="256">
        <v>0</v>
      </c>
      <c r="DK3" s="256">
        <v>350</v>
      </c>
      <c r="DL3" s="256" t="s">
        <v>197</v>
      </c>
      <c r="DM3" s="256" t="s">
        <v>196</v>
      </c>
      <c r="DN3" s="256" t="s">
        <v>297</v>
      </c>
      <c r="DO3" s="256" t="s">
        <v>29</v>
      </c>
      <c r="DP3" s="256" t="s">
        <v>30</v>
      </c>
      <c r="DQ3" s="256" t="s">
        <v>31</v>
      </c>
      <c r="DR3" s="256" t="s">
        <v>298</v>
      </c>
      <c r="DS3" s="256">
        <v>3</v>
      </c>
      <c r="DT3" s="256">
        <v>2</v>
      </c>
      <c r="DU3" s="256">
        <v>1</v>
      </c>
      <c r="DV3" s="256">
        <v>1</v>
      </c>
      <c r="DW3" s="256" t="s">
        <v>127</v>
      </c>
      <c r="DX3" s="256">
        <v>1</v>
      </c>
      <c r="DY3" s="256" t="s">
        <v>32</v>
      </c>
      <c r="DZ3" s="256" t="s">
        <v>32</v>
      </c>
      <c r="EA3" s="258" t="s">
        <v>299</v>
      </c>
      <c r="EB3" s="256" t="s">
        <v>296</v>
      </c>
      <c r="EC3" s="256" t="s">
        <v>306</v>
      </c>
      <c r="ED3" s="256" t="s">
        <v>94</v>
      </c>
      <c r="EE3" s="256" t="s">
        <v>128</v>
      </c>
      <c r="EF3" s="256" t="s">
        <v>128</v>
      </c>
      <c r="EG3" s="256" t="s">
        <v>128</v>
      </c>
      <c r="EH3" s="256" t="s">
        <v>127</v>
      </c>
      <c r="EI3" s="256" t="s">
        <v>128</v>
      </c>
      <c r="EJ3" s="256" t="s">
        <v>127</v>
      </c>
      <c r="EK3" s="256" t="s">
        <v>128</v>
      </c>
      <c r="EL3" s="256" t="s">
        <v>128</v>
      </c>
      <c r="EM3" s="258" t="s">
        <v>316</v>
      </c>
      <c r="EN3" s="256" t="s">
        <v>288</v>
      </c>
      <c r="EO3" s="256"/>
      <c r="EP3" s="256"/>
      <c r="EQ3" s="256"/>
      <c r="ER3" s="256"/>
      <c r="ES3" s="256"/>
      <c r="ET3" s="256"/>
      <c r="EU3" s="256"/>
      <c r="EV3" s="256"/>
      <c r="EW3" s="256"/>
      <c r="EX3" s="256"/>
      <c r="EY3" s="256"/>
      <c r="EZ3" s="256"/>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row>
    <row r="4" spans="1:256" s="262" customFormat="1" ht="9.75" customHeight="1" thickBot="1" thickTop="1">
      <c r="A4" s="22"/>
      <c r="B4" s="59" t="s">
        <v>3</v>
      </c>
      <c r="C4" s="46" t="str">
        <f>C1</f>
        <v>GERENTON</v>
      </c>
      <c r="D4" s="22"/>
      <c r="E4" s="58" t="s">
        <v>221</v>
      </c>
      <c r="F4" s="47" t="str">
        <f>VLOOKUP(F$1,DA:EZ,8,FALSE)</f>
        <v>TROIS CENT CINQUANTE EUROS</v>
      </c>
      <c r="G4" s="22"/>
      <c r="H4" s="59" t="s">
        <v>3</v>
      </c>
      <c r="I4" s="46" t="str">
        <f>Locataire</f>
        <v>THOMAS</v>
      </c>
      <c r="J4" s="22"/>
      <c r="K4" s="71"/>
      <c r="L4" s="71"/>
      <c r="M4" s="71"/>
      <c r="N4" s="81"/>
      <c r="O4" s="82"/>
      <c r="P4" s="82"/>
      <c r="Q4" s="83"/>
      <c r="R4" s="71"/>
      <c r="S4" s="93">
        <v>3</v>
      </c>
      <c r="T4" s="89"/>
      <c r="U4" s="89"/>
      <c r="V4" s="90"/>
      <c r="W4" s="71"/>
      <c r="X4" s="93">
        <v>4</v>
      </c>
      <c r="Y4" s="89"/>
      <c r="Z4" s="89"/>
      <c r="AA4" s="94"/>
      <c r="AB4" s="71"/>
      <c r="AC4" s="102">
        <v>2</v>
      </c>
      <c r="AD4" s="111" t="s">
        <v>293</v>
      </c>
      <c r="AE4" s="71"/>
      <c r="AF4" s="71"/>
      <c r="AG4" s="71"/>
      <c r="AH4" s="71"/>
      <c r="AI4" s="71"/>
      <c r="AJ4" s="71"/>
      <c r="AK4" s="71"/>
      <c r="AL4" s="71"/>
      <c r="AM4" s="71"/>
      <c r="AN4" s="71"/>
      <c r="AO4" s="71"/>
      <c r="AP4" s="71"/>
      <c r="AQ4" s="71"/>
      <c r="AR4" s="71"/>
      <c r="AS4" s="71"/>
      <c r="AT4" s="71"/>
      <c r="AU4" s="71"/>
      <c r="AV4" s="71"/>
      <c r="AW4" s="71"/>
      <c r="AX4" s="71"/>
      <c r="AY4" s="71"/>
      <c r="AZ4" s="71"/>
      <c r="BA4" s="252" t="s">
        <v>283</v>
      </c>
      <c r="BB4" s="252" t="s">
        <v>241</v>
      </c>
      <c r="BC4" s="252" t="s">
        <v>242</v>
      </c>
      <c r="BD4" s="252" t="s">
        <v>261</v>
      </c>
      <c r="BE4" s="252" t="s">
        <v>262</v>
      </c>
      <c r="BF4" s="252" t="s">
        <v>263</v>
      </c>
      <c r="BG4" s="252"/>
      <c r="BH4" s="252"/>
      <c r="BI4" s="252" t="s">
        <v>264</v>
      </c>
      <c r="BJ4" s="252"/>
      <c r="BK4" s="252"/>
      <c r="BL4" s="252"/>
      <c r="BM4" s="252"/>
      <c r="BN4" s="252"/>
      <c r="BO4" s="252"/>
      <c r="BP4" s="252"/>
      <c r="BQ4" s="252"/>
      <c r="BR4" s="252"/>
      <c r="BS4" s="252"/>
      <c r="BT4" s="252"/>
      <c r="BU4" s="252"/>
      <c r="BV4" s="252"/>
      <c r="BW4" s="252"/>
      <c r="BX4" s="252"/>
      <c r="BY4" s="252"/>
      <c r="BZ4" s="252"/>
      <c r="CA4" s="252" t="s">
        <v>310</v>
      </c>
      <c r="CB4" s="252" t="s">
        <v>241</v>
      </c>
      <c r="CC4" s="252" t="s">
        <v>242</v>
      </c>
      <c r="CD4" s="252" t="s">
        <v>262</v>
      </c>
      <c r="CE4" s="252" t="s">
        <v>315</v>
      </c>
      <c r="CF4" s="252" t="s">
        <v>338</v>
      </c>
      <c r="CG4" s="252"/>
      <c r="CH4" s="252"/>
      <c r="CI4" s="252"/>
      <c r="CJ4" s="252"/>
      <c r="CK4" s="252"/>
      <c r="CL4" s="252"/>
      <c r="CM4" s="252"/>
      <c r="CN4" s="252"/>
      <c r="CO4" s="252"/>
      <c r="CP4" s="252"/>
      <c r="CQ4" s="252"/>
      <c r="CR4" s="252"/>
      <c r="CS4" s="252"/>
      <c r="CT4" s="252"/>
      <c r="CU4" s="252"/>
      <c r="CV4" s="252"/>
      <c r="CW4" s="252"/>
      <c r="CX4" s="252"/>
      <c r="CY4" s="252"/>
      <c r="CZ4" s="252"/>
      <c r="DA4" s="256" t="s">
        <v>311</v>
      </c>
      <c r="DB4" s="256">
        <v>25</v>
      </c>
      <c r="DC4" s="256" t="s">
        <v>8</v>
      </c>
      <c r="DD4" s="256" t="s">
        <v>294</v>
      </c>
      <c r="DE4" s="256" t="s">
        <v>295</v>
      </c>
      <c r="DF4" s="256" t="s">
        <v>313</v>
      </c>
      <c r="DG4" s="264">
        <v>350</v>
      </c>
      <c r="DH4" s="256" t="s">
        <v>296</v>
      </c>
      <c r="DI4" s="256" t="s">
        <v>187</v>
      </c>
      <c r="DJ4" s="256">
        <v>0</v>
      </c>
      <c r="DK4" s="256">
        <v>350</v>
      </c>
      <c r="DL4" s="256" t="s">
        <v>197</v>
      </c>
      <c r="DM4" s="256" t="s">
        <v>196</v>
      </c>
      <c r="DN4" s="256" t="s">
        <v>297</v>
      </c>
      <c r="DO4" s="256" t="s">
        <v>29</v>
      </c>
      <c r="DP4" s="256" t="s">
        <v>30</v>
      </c>
      <c r="DQ4" s="256" t="s">
        <v>31</v>
      </c>
      <c r="DR4" s="256" t="s">
        <v>298</v>
      </c>
      <c r="DS4" s="256">
        <v>3</v>
      </c>
      <c r="DT4" s="256">
        <v>2</v>
      </c>
      <c r="DU4" s="256">
        <v>1</v>
      </c>
      <c r="DV4" s="256">
        <v>1</v>
      </c>
      <c r="DW4" s="256" t="s">
        <v>127</v>
      </c>
      <c r="DX4" s="256">
        <v>1</v>
      </c>
      <c r="DY4" s="256" t="s">
        <v>32</v>
      </c>
      <c r="DZ4" s="256" t="s">
        <v>32</v>
      </c>
      <c r="EA4" s="258" t="s">
        <v>299</v>
      </c>
      <c r="EB4" s="256" t="s">
        <v>296</v>
      </c>
      <c r="EC4" s="256" t="s">
        <v>310</v>
      </c>
      <c r="ED4" s="256" t="s">
        <v>94</v>
      </c>
      <c r="EE4" s="256" t="s">
        <v>128</v>
      </c>
      <c r="EF4" s="256" t="s">
        <v>128</v>
      </c>
      <c r="EG4" s="256" t="s">
        <v>128</v>
      </c>
      <c r="EH4" s="256" t="s">
        <v>127</v>
      </c>
      <c r="EI4" s="256" t="s">
        <v>128</v>
      </c>
      <c r="EJ4" s="256" t="s">
        <v>127</v>
      </c>
      <c r="EK4" s="256" t="s">
        <v>128</v>
      </c>
      <c r="EL4" s="256" t="s">
        <v>128</v>
      </c>
      <c r="EM4" s="258" t="s">
        <v>316</v>
      </c>
      <c r="EN4" s="256" t="s">
        <v>283</v>
      </c>
      <c r="EO4" s="256"/>
      <c r="EP4" s="256"/>
      <c r="EQ4" s="256"/>
      <c r="ER4" s="256"/>
      <c r="ES4" s="256"/>
      <c r="ET4" s="256"/>
      <c r="EU4" s="256"/>
      <c r="EV4" s="256"/>
      <c r="EW4" s="256"/>
      <c r="EX4" s="256"/>
      <c r="EY4" s="256"/>
      <c r="EZ4" s="256"/>
      <c r="FA4" s="252"/>
      <c r="FB4" s="252"/>
      <c r="FC4" s="252"/>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row>
    <row r="5" spans="1:256" s="262" customFormat="1" ht="27" customHeight="1">
      <c r="A5" s="22"/>
      <c r="B5" s="57" t="s">
        <v>0</v>
      </c>
      <c r="C5" s="46" t="str">
        <f>VLOOKUP($C$1,BA:BK,3,FALSE)</f>
        <v>Anne</v>
      </c>
      <c r="D5" s="22"/>
      <c r="E5" s="58" t="s">
        <v>181</v>
      </c>
      <c r="F5" s="48" t="str">
        <f>VLOOKUP(F$1,DA:EZ,9,FALSE)</f>
        <v>FORFAIT CHARGES</v>
      </c>
      <c r="G5" s="22"/>
      <c r="H5" s="57" t="s">
        <v>0</v>
      </c>
      <c r="I5" s="46" t="str">
        <f>IF(VLOOKUP($I$1,CA:CG,3,FALSE)&lt;&gt;0,VLOOKUP($I$1,CA:CG,3,FALSE),"")</f>
        <v>Anne</v>
      </c>
      <c r="J5" s="22"/>
      <c r="K5" s="71"/>
      <c r="L5" s="70"/>
      <c r="M5" s="71"/>
      <c r="N5" s="84"/>
      <c r="O5" s="69" t="s">
        <v>145</v>
      </c>
      <c r="P5" s="153" t="str">
        <f>_xlfn.IFERROR(IF(Bailleur&lt;&gt;"",Bailleur,""),"")</f>
        <v>GERENTON</v>
      </c>
      <c r="Q5" s="88"/>
      <c r="R5" s="71"/>
      <c r="S5" s="91"/>
      <c r="T5" s="204" t="s">
        <v>10</v>
      </c>
      <c r="U5" s="199" t="s">
        <v>185</v>
      </c>
      <c r="V5" s="92"/>
      <c r="W5" s="71"/>
      <c r="X5" s="96"/>
      <c r="Y5" s="204" t="s">
        <v>10</v>
      </c>
      <c r="Z5" s="199" t="s">
        <v>241</v>
      </c>
      <c r="AA5" s="95"/>
      <c r="AB5" s="71"/>
      <c r="AC5" s="219" t="s">
        <v>230</v>
      </c>
      <c r="AD5" s="211" t="s">
        <v>293</v>
      </c>
      <c r="AE5" s="71"/>
      <c r="AF5" s="71"/>
      <c r="AG5" s="206" t="s">
        <v>24</v>
      </c>
      <c r="AH5" s="156" t="s">
        <v>298</v>
      </c>
      <c r="AI5" s="71"/>
      <c r="AJ5" s="71"/>
      <c r="AK5" s="70"/>
      <c r="AL5" s="70"/>
      <c r="AM5" s="71"/>
      <c r="AN5" s="71"/>
      <c r="AO5" s="71"/>
      <c r="AP5" s="71"/>
      <c r="AQ5" s="71"/>
      <c r="AR5" s="71"/>
      <c r="AS5" s="71"/>
      <c r="AT5" s="71"/>
      <c r="AU5" s="71"/>
      <c r="AV5" s="71"/>
      <c r="AW5" s="71"/>
      <c r="AX5" s="71"/>
      <c r="AY5" s="71"/>
      <c r="AZ5" s="71"/>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6"/>
      <c r="DB5" s="256"/>
      <c r="DC5" s="256"/>
      <c r="DD5" s="256"/>
      <c r="DE5" s="256"/>
      <c r="DF5" s="256"/>
      <c r="DG5" s="264"/>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8"/>
      <c r="EN5" s="256"/>
      <c r="EO5" s="256"/>
      <c r="EP5" s="256"/>
      <c r="EQ5" s="256"/>
      <c r="ER5" s="256"/>
      <c r="ES5" s="256"/>
      <c r="ET5" s="256"/>
      <c r="EU5" s="256"/>
      <c r="EV5" s="256"/>
      <c r="EW5" s="256"/>
      <c r="EX5" s="256"/>
      <c r="EY5" s="256"/>
      <c r="EZ5" s="256"/>
      <c r="FA5" s="252"/>
      <c r="FB5" s="252"/>
      <c r="FC5" s="252"/>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row>
    <row r="6" spans="1:256" s="262" customFormat="1" ht="27" customHeight="1">
      <c r="A6" s="22"/>
      <c r="B6" s="56" t="s">
        <v>13</v>
      </c>
      <c r="C6" s="34">
        <f>P11</f>
        <v>43952</v>
      </c>
      <c r="D6" s="22"/>
      <c r="E6" s="58" t="s">
        <v>178</v>
      </c>
      <c r="F6" s="48">
        <f>VLOOKUP(F$1,DA:EZ,10,FALSE)</f>
        <v>0</v>
      </c>
      <c r="G6" s="22"/>
      <c r="H6" s="57" t="s">
        <v>37</v>
      </c>
      <c r="I6" s="46" t="str">
        <f>IF(VLOOKUP($I$1,CA:CG,4,FALSE)&lt;&gt;0,VLOOKUP($I$1,CA:CG,4,FALSE),"")</f>
        <v>justin@lautomatiseur.fr</v>
      </c>
      <c r="J6" s="22"/>
      <c r="K6" s="71"/>
      <c r="L6" s="70"/>
      <c r="M6" s="71"/>
      <c r="N6" s="84"/>
      <c r="O6" s="69" t="s">
        <v>146</v>
      </c>
      <c r="P6" s="153" t="str">
        <f>IF(Appartement&lt;&gt;"",Appartement,"")</f>
        <v>Mon 3eme appart</v>
      </c>
      <c r="Q6" s="88"/>
      <c r="R6" s="71"/>
      <c r="S6" s="91"/>
      <c r="T6" s="204" t="s">
        <v>3</v>
      </c>
      <c r="U6" s="199" t="s">
        <v>300</v>
      </c>
      <c r="V6" s="92"/>
      <c r="W6" s="71"/>
      <c r="X6" s="96"/>
      <c r="Y6" s="204" t="s">
        <v>3</v>
      </c>
      <c r="Z6" s="199" t="s">
        <v>310</v>
      </c>
      <c r="AA6" s="95"/>
      <c r="AB6" s="71"/>
      <c r="AC6" s="220" t="s">
        <v>231</v>
      </c>
      <c r="AD6" s="212" t="s">
        <v>300</v>
      </c>
      <c r="AE6" s="71"/>
      <c r="AF6" s="71"/>
      <c r="AG6" s="207" t="s">
        <v>25</v>
      </c>
      <c r="AH6" s="157">
        <v>3</v>
      </c>
      <c r="AI6" s="71"/>
      <c r="AJ6" s="71"/>
      <c r="AK6" s="70"/>
      <c r="AL6" s="70"/>
      <c r="AM6" s="71"/>
      <c r="AN6" s="71"/>
      <c r="AO6" s="71"/>
      <c r="AP6" s="71"/>
      <c r="AQ6" s="71"/>
      <c r="AR6" s="71"/>
      <c r="AS6" s="71"/>
      <c r="AT6" s="71"/>
      <c r="AU6" s="71"/>
      <c r="AV6" s="71"/>
      <c r="AW6" s="71"/>
      <c r="AX6" s="71"/>
      <c r="AY6" s="71"/>
      <c r="AZ6" s="71"/>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6"/>
      <c r="DB6" s="256"/>
      <c r="DC6" s="256"/>
      <c r="DD6" s="256"/>
      <c r="DE6" s="256"/>
      <c r="DF6" s="256"/>
      <c r="DG6" s="264"/>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8"/>
      <c r="EN6" s="256"/>
      <c r="EO6" s="256"/>
      <c r="EP6" s="256"/>
      <c r="EQ6" s="256"/>
      <c r="ER6" s="256"/>
      <c r="ES6" s="256"/>
      <c r="ET6" s="256"/>
      <c r="EU6" s="256"/>
      <c r="EV6" s="256"/>
      <c r="EW6" s="256"/>
      <c r="EX6" s="256"/>
      <c r="EY6" s="256"/>
      <c r="EZ6" s="256"/>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row>
    <row r="7" spans="1:256" s="262" customFormat="1" ht="27" customHeight="1" thickBot="1">
      <c r="A7" s="22"/>
      <c r="B7" s="56" t="s">
        <v>14</v>
      </c>
      <c r="C7" s="34">
        <f>P12</f>
        <v>43982</v>
      </c>
      <c r="D7" s="22"/>
      <c r="E7" s="57" t="s">
        <v>7</v>
      </c>
      <c r="F7" s="46">
        <f>IF(VLOOKUP(F$1,DA:EZ,2,FALSE)&lt;&gt;0,VLOOKUP(F$1,DA:EZ,2,FALSE),"")</f>
        <v>25</v>
      </c>
      <c r="G7" s="22"/>
      <c r="H7" s="57" t="s">
        <v>38</v>
      </c>
      <c r="I7" s="46" t="str">
        <f>IF(VLOOKUP($I$1,CA:CG,5,FALSE)&lt;&gt;0,VLOOKUP($I$1,CA:CG,5,FALSE),"")</f>
        <v> </v>
      </c>
      <c r="J7" s="22">
        <v>100</v>
      </c>
      <c r="K7" s="71"/>
      <c r="L7" s="70"/>
      <c r="M7" s="71"/>
      <c r="N7" s="84"/>
      <c r="O7" s="69" t="s">
        <v>147</v>
      </c>
      <c r="P7" s="153" t="str">
        <f>IF(I18&lt;&gt;"",I18,Locataire)</f>
        <v>THOMAS</v>
      </c>
      <c r="Q7" s="88"/>
      <c r="R7" s="71"/>
      <c r="S7" s="91"/>
      <c r="T7" s="204" t="s">
        <v>6</v>
      </c>
      <c r="U7" s="199" t="s">
        <v>301</v>
      </c>
      <c r="V7" s="92"/>
      <c r="W7" s="71"/>
      <c r="X7" s="96"/>
      <c r="Y7" s="204" t="s">
        <v>6</v>
      </c>
      <c r="Z7" s="199" t="s">
        <v>242</v>
      </c>
      <c r="AA7" s="95"/>
      <c r="AB7" s="71"/>
      <c r="AC7" s="221" t="s">
        <v>232</v>
      </c>
      <c r="AD7" s="213" t="s">
        <v>331</v>
      </c>
      <c r="AE7" s="71"/>
      <c r="AF7" s="71"/>
      <c r="AG7" s="207" t="s">
        <v>43</v>
      </c>
      <c r="AH7" s="157">
        <v>2</v>
      </c>
      <c r="AI7" s="71"/>
      <c r="AJ7" s="71"/>
      <c r="AK7" s="70"/>
      <c r="AL7" s="70"/>
      <c r="AM7" s="71"/>
      <c r="AN7" s="71"/>
      <c r="AO7" s="71"/>
      <c r="AP7" s="71"/>
      <c r="AQ7" s="71"/>
      <c r="AR7" s="71"/>
      <c r="AS7" s="71"/>
      <c r="AT7" s="71"/>
      <c r="AU7" s="71"/>
      <c r="AV7" s="71"/>
      <c r="AW7" s="71"/>
      <c r="AX7" s="71"/>
      <c r="AY7" s="155"/>
      <c r="AZ7" s="71"/>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6"/>
      <c r="DB7" s="256"/>
      <c r="DC7" s="256"/>
      <c r="DD7" s="256"/>
      <c r="DE7" s="256"/>
      <c r="DF7" s="256"/>
      <c r="DG7" s="264"/>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6"/>
      <c r="EK7" s="256"/>
      <c r="EL7" s="256"/>
      <c r="EM7" s="258"/>
      <c r="EN7" s="256"/>
      <c r="EO7" s="256"/>
      <c r="EP7" s="256"/>
      <c r="EQ7" s="256"/>
      <c r="ER7" s="256"/>
      <c r="ES7" s="256"/>
      <c r="ET7" s="256"/>
      <c r="EU7" s="256"/>
      <c r="EV7" s="256"/>
      <c r="EW7" s="256"/>
      <c r="EX7" s="256"/>
      <c r="EY7" s="256"/>
      <c r="EZ7" s="256"/>
      <c r="FA7" s="252"/>
      <c r="FB7" s="252"/>
      <c r="FC7" s="252"/>
      <c r="FD7" s="252"/>
      <c r="FE7" s="252"/>
      <c r="FF7" s="252"/>
      <c r="FG7" s="252"/>
      <c r="FH7" s="252"/>
      <c r="FI7" s="252"/>
      <c r="FJ7" s="252"/>
      <c r="FK7" s="252"/>
      <c r="FL7" s="252"/>
      <c r="FM7" s="252"/>
      <c r="FN7" s="252"/>
      <c r="FO7" s="252"/>
      <c r="FP7" s="252"/>
      <c r="FQ7" s="252"/>
      <c r="FR7" s="252"/>
      <c r="FS7" s="252"/>
      <c r="FT7" s="252"/>
      <c r="FU7" s="252"/>
      <c r="FV7" s="252"/>
      <c r="FW7" s="252"/>
      <c r="FX7" s="252"/>
      <c r="FY7" s="252"/>
      <c r="FZ7" s="252"/>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row>
    <row r="8" spans="1:256" s="262" customFormat="1" ht="27" customHeight="1" thickBot="1">
      <c r="A8" s="22"/>
      <c r="B8" s="60" t="s">
        <v>5</v>
      </c>
      <c r="C8" s="34">
        <f>P13</f>
        <v>43953</v>
      </c>
      <c r="D8" s="22"/>
      <c r="E8" s="57" t="s">
        <v>9</v>
      </c>
      <c r="F8" s="46" t="str">
        <f>IF(VLOOKUP(F$1,DA:EZ,3,FALSE)&lt;&gt;0,VLOOKUP(F$1,DA:EZ,3,FALSE),"")</f>
        <v>Rue</v>
      </c>
      <c r="G8" s="22"/>
      <c r="H8" s="58" t="s">
        <v>243</v>
      </c>
      <c r="I8" s="46" t="str">
        <f>IF(VLOOKUP($I$1,CA:CG,6,FALSE)&lt;&gt;0,VLOOKUP($I$1,CA:CG,6,FALSE),"")</f>
        <v>4/1/2019</v>
      </c>
      <c r="J8" s="22"/>
      <c r="K8" s="71"/>
      <c r="L8" s="70"/>
      <c r="M8" s="71"/>
      <c r="N8" s="85"/>
      <c r="O8" s="86"/>
      <c r="P8" s="86"/>
      <c r="Q8" s="87"/>
      <c r="R8" s="71"/>
      <c r="S8" s="91"/>
      <c r="T8" s="204" t="s">
        <v>39</v>
      </c>
      <c r="U8" s="203" t="s">
        <v>303</v>
      </c>
      <c r="V8" s="92"/>
      <c r="W8" s="71"/>
      <c r="X8" s="96"/>
      <c r="Y8" s="204" t="s">
        <v>38</v>
      </c>
      <c r="Z8" s="266" t="s">
        <v>315</v>
      </c>
      <c r="AA8" s="97"/>
      <c r="AB8" s="71"/>
      <c r="AC8" s="201"/>
      <c r="AD8" s="201"/>
      <c r="AE8" s="71"/>
      <c r="AF8" s="71"/>
      <c r="AG8" s="207" t="s">
        <v>155</v>
      </c>
      <c r="AH8" s="157">
        <v>1</v>
      </c>
      <c r="AI8" s="71"/>
      <c r="AJ8" s="71"/>
      <c r="AK8" s="70"/>
      <c r="AL8" s="70"/>
      <c r="AM8" s="71"/>
      <c r="AN8" s="71"/>
      <c r="AO8" s="71"/>
      <c r="AP8" s="71"/>
      <c r="AQ8" s="71"/>
      <c r="AR8" s="71"/>
      <c r="AS8" s="71"/>
      <c r="AT8" s="71"/>
      <c r="AU8" s="71"/>
      <c r="AV8" s="71"/>
      <c r="AW8" s="71"/>
      <c r="AX8" s="71"/>
      <c r="AY8" s="71"/>
      <c r="AZ8" s="71"/>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6"/>
      <c r="DB8" s="256"/>
      <c r="DC8" s="256"/>
      <c r="DD8" s="256"/>
      <c r="DE8" s="256"/>
      <c r="DF8" s="256"/>
      <c r="DG8" s="264"/>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8"/>
      <c r="EN8" s="256"/>
      <c r="EO8" s="256"/>
      <c r="EP8" s="256"/>
      <c r="EQ8" s="256"/>
      <c r="ER8" s="256"/>
      <c r="ES8" s="256"/>
      <c r="ET8" s="256"/>
      <c r="EU8" s="256"/>
      <c r="EV8" s="256"/>
      <c r="EW8" s="256"/>
      <c r="EX8" s="256"/>
      <c r="EY8" s="256"/>
      <c r="EZ8" s="256"/>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row>
    <row r="9" spans="2:143" ht="27" customHeight="1" thickBot="1" thickTop="1">
      <c r="B9" s="61" t="s">
        <v>40</v>
      </c>
      <c r="C9" s="42">
        <f>P14</f>
        <v>43946</v>
      </c>
      <c r="E9" s="57" t="s">
        <v>8</v>
      </c>
      <c r="F9" s="46" t="str">
        <f>IF(VLOOKUP(F$1,DA:EZ,4,FALSE)&lt;&gt;0,VLOOKUP(F$1,DA:EZ,4,FALSE),"")</f>
        <v>de Paris</v>
      </c>
      <c r="H9" s="58" t="s">
        <v>244</v>
      </c>
      <c r="I9" s="226">
        <f>IF(VLOOKUP($I$1,CA:CG,7,FALSE)&lt;&gt;0,VLOOKUP($I$1,CA:CG,7,FALSE),"")</f>
      </c>
      <c r="M9" s="71"/>
      <c r="S9" s="75"/>
      <c r="T9" s="204" t="s">
        <v>2</v>
      </c>
      <c r="U9" s="200" t="s">
        <v>302</v>
      </c>
      <c r="V9" s="76"/>
      <c r="X9" s="96"/>
      <c r="Y9" s="204" t="s">
        <v>37</v>
      </c>
      <c r="Z9" s="199" t="s">
        <v>262</v>
      </c>
      <c r="AA9" s="97"/>
      <c r="AC9" s="204" t="s">
        <v>7</v>
      </c>
      <c r="AD9" s="200">
        <v>25</v>
      </c>
      <c r="AE9" s="71"/>
      <c r="AF9" s="71"/>
      <c r="AG9" s="207" t="s">
        <v>77</v>
      </c>
      <c r="AH9" s="159">
        <v>1</v>
      </c>
      <c r="AI9" s="71"/>
      <c r="AJ9" s="71"/>
      <c r="EM9" s="258"/>
    </row>
    <row r="10" spans="2:143" ht="27" customHeight="1" thickTop="1">
      <c r="B10" s="57" t="s">
        <v>18</v>
      </c>
      <c r="C10" s="46" t="str">
        <f>VLOOKUP($C$1,BA:BK,4,FALSE)</f>
        <v>PARIS</v>
      </c>
      <c r="E10" s="57" t="s">
        <v>33</v>
      </c>
      <c r="F10" s="46" t="str">
        <f>IF(VLOOKUP(F$1,DA:EZ,12,FALSE)&lt;&gt;0,VLOOKUP(F$1,DA:EZ,12,FALSE),"")</f>
        <v>-</v>
      </c>
      <c r="M10" s="71"/>
      <c r="N10" s="72"/>
      <c r="O10" s="73"/>
      <c r="P10" s="73"/>
      <c r="Q10" s="74"/>
      <c r="S10" s="75"/>
      <c r="T10" s="204" t="s">
        <v>38</v>
      </c>
      <c r="U10" s="200" t="s">
        <v>304</v>
      </c>
      <c r="V10" s="76"/>
      <c r="X10" s="96"/>
      <c r="Y10" s="204" t="s">
        <v>239</v>
      </c>
      <c r="Z10" s="225">
        <v>43556</v>
      </c>
      <c r="AA10" s="97"/>
      <c r="AC10" s="204" t="s">
        <v>9</v>
      </c>
      <c r="AD10" s="199" t="s">
        <v>8</v>
      </c>
      <c r="AE10" s="71"/>
      <c r="AF10" s="71"/>
      <c r="AG10" s="207" t="s">
        <v>45</v>
      </c>
      <c r="AH10" s="157" t="s">
        <v>127</v>
      </c>
      <c r="AI10" s="71"/>
      <c r="AJ10" s="71"/>
      <c r="EM10" s="258"/>
    </row>
    <row r="11" spans="2:143" ht="27" customHeight="1" thickBot="1">
      <c r="B11" s="58" t="s">
        <v>37</v>
      </c>
      <c r="C11" s="46" t="str">
        <f>VLOOKUP($C$1,BA:BK,5,FALSE)</f>
        <v>justin@lautomatiseur.fr</v>
      </c>
      <c r="E11" s="58" t="s">
        <v>2</v>
      </c>
      <c r="F11" s="46" t="str">
        <f>IF(VLOOKUP(F$1,DA:EZ,5,FALSE)&lt;&gt;0,VLOOKUP(F$1,DA:EZ,5,FALSE),"")</f>
        <v>Paris</v>
      </c>
      <c r="L11" s="204" t="s">
        <v>225</v>
      </c>
      <c r="M11" s="71"/>
      <c r="N11" s="75"/>
      <c r="O11" s="69" t="s">
        <v>150</v>
      </c>
      <c r="P11" s="80">
        <v>43952</v>
      </c>
      <c r="Q11" s="76"/>
      <c r="S11" s="75"/>
      <c r="T11" s="204" t="s">
        <v>37</v>
      </c>
      <c r="U11" s="200" t="s">
        <v>262</v>
      </c>
      <c r="V11" s="76"/>
      <c r="X11" s="96"/>
      <c r="Y11" s="204" t="s">
        <v>240</v>
      </c>
      <c r="Z11" s="225"/>
      <c r="AA11" s="97"/>
      <c r="AC11" s="205" t="s">
        <v>8</v>
      </c>
      <c r="AD11" s="217" t="s">
        <v>294</v>
      </c>
      <c r="AG11" s="207" t="s">
        <v>65</v>
      </c>
      <c r="AH11" s="158">
        <v>1</v>
      </c>
      <c r="EM11" s="258"/>
    </row>
    <row r="12" spans="2:143" ht="27" customHeight="1" thickBot="1">
      <c r="B12" s="58" t="s">
        <v>154</v>
      </c>
      <c r="C12" s="46" t="str">
        <f>VLOOKUP($C$1,BA:BK,6,FALSE)</f>
        <v>25 RUE DE LA REPUBLIQUE 75014 PARIS</v>
      </c>
      <c r="E12" s="58" t="s">
        <v>59</v>
      </c>
      <c r="F12" s="46" t="str">
        <f>IF(VLOOKUP(F$1,DA:EZ,6,FALSE)&lt;&gt;0,VLOOKUP(F$1,DA:EZ,6,FALSE),"")</f>
        <v>06000</v>
      </c>
      <c r="L12" s="200" t="s">
        <v>288</v>
      </c>
      <c r="M12" s="71"/>
      <c r="N12" s="75"/>
      <c r="O12" s="69" t="s">
        <v>151</v>
      </c>
      <c r="P12" s="80">
        <v>43982</v>
      </c>
      <c r="Q12" s="76"/>
      <c r="S12" s="91"/>
      <c r="T12" s="204" t="s">
        <v>148</v>
      </c>
      <c r="U12" s="249" t="s">
        <v>290</v>
      </c>
      <c r="V12" s="92"/>
      <c r="X12" s="98"/>
      <c r="Y12" s="99"/>
      <c r="Z12" s="99"/>
      <c r="AA12" s="100"/>
      <c r="AC12" s="222" t="s">
        <v>224</v>
      </c>
      <c r="AD12" s="223" t="s">
        <v>197</v>
      </c>
      <c r="AG12" s="208" t="s">
        <v>73</v>
      </c>
      <c r="AH12" s="163" t="s">
        <v>299</v>
      </c>
      <c r="EM12" s="258"/>
    </row>
    <row r="13" spans="2:143" ht="27" customHeight="1" thickBot="1" thickTop="1">
      <c r="B13" s="57" t="s">
        <v>38</v>
      </c>
      <c r="C13" s="46">
        <f>VLOOKUP($C$1,BA:BK,7,FALSE)</f>
        <v>0</v>
      </c>
      <c r="E13" s="57" t="s">
        <v>34</v>
      </c>
      <c r="F13" s="46" t="str">
        <f>IF(VLOOKUP(F$1,DA:EZ,13,FALSE)&lt;&gt;0,VLOOKUP(F$1,DA:EZ,13,FALSE),"")</f>
        <v>1er</v>
      </c>
      <c r="L13" s="71"/>
      <c r="M13" s="71"/>
      <c r="N13" s="75"/>
      <c r="O13" s="69" t="s">
        <v>152</v>
      </c>
      <c r="P13" s="80">
        <v>43953</v>
      </c>
      <c r="Q13" s="76"/>
      <c r="S13" s="75"/>
      <c r="T13" s="204" t="s">
        <v>237</v>
      </c>
      <c r="U13" s="224" t="s">
        <v>305</v>
      </c>
      <c r="V13" s="76"/>
      <c r="AC13" s="218" t="s">
        <v>59</v>
      </c>
      <c r="AD13" s="250" t="s">
        <v>313</v>
      </c>
      <c r="AG13" s="201"/>
      <c r="EM13" s="258"/>
    </row>
    <row r="14" spans="2:143" ht="27" customHeight="1" thickBot="1">
      <c r="B14" s="58" t="s">
        <v>75</v>
      </c>
      <c r="C14" s="46">
        <f>VLOOKUP($C$1,BA:BK,8,FALSE)</f>
        <v>0</v>
      </c>
      <c r="E14" s="57" t="s">
        <v>35</v>
      </c>
      <c r="F14" s="46" t="str">
        <f>IF(VLOOKUP(F$1,DA:EZ,14,FALSE)&lt;&gt;0,VLOOKUP(F$1,DA:EZ,14,FALSE),"")</f>
        <v>C</v>
      </c>
      <c r="L14" s="204" t="s">
        <v>226</v>
      </c>
      <c r="M14" s="71"/>
      <c r="N14" s="75"/>
      <c r="O14" s="69" t="s">
        <v>149</v>
      </c>
      <c r="P14" s="80">
        <v>43946</v>
      </c>
      <c r="Q14" s="76"/>
      <c r="S14" s="77"/>
      <c r="T14" s="78"/>
      <c r="U14" s="78"/>
      <c r="V14" s="79"/>
      <c r="Z14" s="110"/>
      <c r="AC14" s="204" t="s">
        <v>2</v>
      </c>
      <c r="AD14" s="200" t="s">
        <v>295</v>
      </c>
      <c r="AG14" s="206" t="s">
        <v>22</v>
      </c>
      <c r="AH14" s="103" t="s">
        <v>29</v>
      </c>
      <c r="EM14" s="258"/>
    </row>
    <row r="15" spans="2:34" ht="27" customHeight="1" thickTop="1">
      <c r="B15" s="44" t="s">
        <v>158</v>
      </c>
      <c r="C15" s="46" t="str">
        <f>VLOOKUP($C$1,BA:BK,9,FALSE)</f>
        <v>THE GERENTON TEAM</v>
      </c>
      <c r="E15" s="57" t="s">
        <v>22</v>
      </c>
      <c r="F15" s="46" t="str">
        <f>IF(VLOOKUP(F$1,DA:EZ,15,FALSE)&lt;&gt;0,VLOOKUP(F$1,DA:EZ,15,FALSE),"")</f>
        <v>Collectif (appartement)</v>
      </c>
      <c r="I15" s="50"/>
      <c r="L15" s="200" t="s">
        <v>311</v>
      </c>
      <c r="M15" s="71"/>
      <c r="N15" s="75"/>
      <c r="O15" s="68"/>
      <c r="P15" s="68"/>
      <c r="Q15" s="76"/>
      <c r="Z15" s="109"/>
      <c r="AC15" s="204" t="s">
        <v>34</v>
      </c>
      <c r="AD15" s="200" t="s">
        <v>196</v>
      </c>
      <c r="AG15" s="207" t="s">
        <v>28</v>
      </c>
      <c r="AH15" s="104" t="s">
        <v>30</v>
      </c>
    </row>
    <row r="16" spans="2:34" ht="27" customHeight="1">
      <c r="B16" s="62" t="s">
        <v>72</v>
      </c>
      <c r="C16" s="65" t="str">
        <f>P16</f>
        <v>Virement</v>
      </c>
      <c r="E16" s="57" t="s">
        <v>28</v>
      </c>
      <c r="F16" s="46" t="str">
        <f>IF(VLOOKUP(F$1,DA:EZ,16,FALSE)&lt;&gt;0,VLOOKUP(F$1,DA:EZ,16,FALSE),"")</f>
        <v>Copropriété</v>
      </c>
      <c r="I16" s="50"/>
      <c r="L16" s="71"/>
      <c r="M16" s="71"/>
      <c r="N16" s="75"/>
      <c r="O16" s="69" t="s">
        <v>72</v>
      </c>
      <c r="P16" s="80" t="s">
        <v>257</v>
      </c>
      <c r="Q16" s="76"/>
      <c r="Z16" s="113"/>
      <c r="AC16" s="204" t="s">
        <v>35</v>
      </c>
      <c r="AD16" s="199" t="s">
        <v>297</v>
      </c>
      <c r="AG16" s="207" t="s">
        <v>23</v>
      </c>
      <c r="AH16" s="104" t="s">
        <v>31</v>
      </c>
    </row>
    <row r="17" spans="2:34" ht="27" customHeight="1">
      <c r="B17" s="62"/>
      <c r="C17" s="43" t="str">
        <f>P17</f>
        <v>Location vide</v>
      </c>
      <c r="E17" s="57" t="s">
        <v>23</v>
      </c>
      <c r="F17" s="46" t="str">
        <f>IF(VLOOKUP(F$1,DA:EZ,17,FALSE)&lt;&gt;0,VLOOKUP(F$1,DA:EZ,17,FALSE),"")</f>
        <v>1970 à 1989</v>
      </c>
      <c r="I17" s="50"/>
      <c r="L17" s="204" t="s">
        <v>227</v>
      </c>
      <c r="M17" s="71"/>
      <c r="N17" s="75"/>
      <c r="O17" s="69" t="s">
        <v>153</v>
      </c>
      <c r="P17" s="80" t="s">
        <v>312</v>
      </c>
      <c r="Q17" s="76"/>
      <c r="Z17" s="109"/>
      <c r="AC17" s="201"/>
      <c r="AD17" s="202"/>
      <c r="AG17" s="207" t="s">
        <v>156</v>
      </c>
      <c r="AH17" s="104" t="s">
        <v>32</v>
      </c>
    </row>
    <row r="18" spans="2:34" ht="27" customHeight="1" thickBot="1">
      <c r="B18" s="63" t="s">
        <v>69</v>
      </c>
      <c r="C18" s="34" t="str">
        <f>P18</f>
        <v>REVISION LOYER</v>
      </c>
      <c r="E18" s="57" t="s">
        <v>24</v>
      </c>
      <c r="F18" s="46" t="str">
        <f>IF(VLOOKUP(F$1,DA:EZ,18,FALSE)&lt;&gt;0,VLOOKUP(F$1,DA:EZ,18,FALSE),"")</f>
        <v>65M²</v>
      </c>
      <c r="I18" s="154"/>
      <c r="L18" s="200" t="s">
        <v>310</v>
      </c>
      <c r="M18" s="71"/>
      <c r="N18" s="75"/>
      <c r="O18" s="69" t="s">
        <v>69</v>
      </c>
      <c r="P18" s="80" t="s">
        <v>337</v>
      </c>
      <c r="Q18" s="76"/>
      <c r="Z18" s="109"/>
      <c r="AC18" s="204" t="s">
        <v>20</v>
      </c>
      <c r="AD18" s="265">
        <v>350</v>
      </c>
      <c r="AG18" s="208" t="s">
        <v>27</v>
      </c>
      <c r="AH18" s="105" t="s">
        <v>32</v>
      </c>
    </row>
    <row r="19" spans="2:30" ht="27" customHeight="1">
      <c r="B19" s="62" t="s">
        <v>42</v>
      </c>
      <c r="C19" s="43" t="str">
        <f>P19</f>
        <v>A ECHOIR</v>
      </c>
      <c r="E19" s="57" t="s">
        <v>25</v>
      </c>
      <c r="F19" s="46">
        <f>IF(VLOOKUP(F$1,DA:EZ,19,FALSE)&lt;&gt;0,VLOOKUP(F$1,DA:EZ,19,FALSE),"")</f>
        <v>3</v>
      </c>
      <c r="I19" s="50"/>
      <c r="M19" s="71"/>
      <c r="N19" s="75"/>
      <c r="O19" s="69" t="s">
        <v>42</v>
      </c>
      <c r="P19" s="80" t="s">
        <v>68</v>
      </c>
      <c r="Q19" s="76"/>
      <c r="Z19" s="109"/>
      <c r="AD19" s="210" t="s">
        <v>296</v>
      </c>
    </row>
    <row r="20" spans="2:30" ht="34.5" customHeight="1" thickBot="1">
      <c r="B20" s="33"/>
      <c r="C20" s="33"/>
      <c r="E20" s="57" t="s">
        <v>43</v>
      </c>
      <c r="F20" s="46">
        <f>IF(VLOOKUP(F$1,DA:EZ,20,FALSE)&lt;&gt;0,VLOOKUP(F$1,DA:EZ,20,FALSE),"")</f>
        <v>2</v>
      </c>
      <c r="N20" s="77"/>
      <c r="O20" s="78"/>
      <c r="P20" s="78"/>
      <c r="Q20" s="79"/>
      <c r="Z20" s="109"/>
      <c r="AC20" s="204" t="s">
        <v>157</v>
      </c>
      <c r="AD20" s="265">
        <v>350</v>
      </c>
    </row>
    <row r="21" spans="2:34" ht="21" thickBot="1" thickTop="1">
      <c r="B21" s="64" t="s">
        <v>144</v>
      </c>
      <c r="C21" s="101"/>
      <c r="E21" s="57" t="s">
        <v>44</v>
      </c>
      <c r="F21" s="46">
        <f>IF(VLOOKUP(F$1,DA:EZ,21,FALSE)&lt;&gt;0,VLOOKUP(F$1,DA:EZ,21,FALSE),"")</f>
        <v>1</v>
      </c>
      <c r="Z21" s="109"/>
      <c r="AD21" s="210" t="s">
        <v>296</v>
      </c>
      <c r="AG21" s="206" t="s">
        <v>86</v>
      </c>
      <c r="AH21" s="103" t="s">
        <v>94</v>
      </c>
    </row>
    <row r="22" spans="5:34" ht="42.75" customHeight="1">
      <c r="E22" s="58" t="s">
        <v>77</v>
      </c>
      <c r="F22" s="46">
        <f>IF(VLOOKUP(F$1,DA:EZ,22,FALSE)&lt;&gt;0,VLOOKUP(F$1,DA:EZ,22,FALSE),"")</f>
        <v>1</v>
      </c>
      <c r="Z22" s="109"/>
      <c r="AC22" s="201"/>
      <c r="AD22" s="202"/>
      <c r="AG22" s="304" t="s">
        <v>93</v>
      </c>
      <c r="AH22" s="305"/>
    </row>
    <row r="23" spans="5:34" ht="27" customHeight="1">
      <c r="E23" s="57" t="s">
        <v>45</v>
      </c>
      <c r="F23" s="46" t="str">
        <f>IF(VLOOKUP(F$1,DA:EZ,23,FALSE)&lt;&gt;0,VLOOKUP(F$1,DA:EZ,23,FALSE),"")</f>
        <v>Oui</v>
      </c>
      <c r="M23" s="108"/>
      <c r="Z23" s="109"/>
      <c r="AC23" s="204" t="s">
        <v>179</v>
      </c>
      <c r="AD23" s="203" t="s">
        <v>187</v>
      </c>
      <c r="AG23" s="207" t="s">
        <v>88</v>
      </c>
      <c r="AH23" s="104" t="s">
        <v>128</v>
      </c>
    </row>
    <row r="24" spans="5:34" ht="27" customHeight="1">
      <c r="E24" s="57" t="s">
        <v>65</v>
      </c>
      <c r="F24" s="46">
        <f>IF(VLOOKUP(F$1,DA:EZ,24,FALSE)&lt;&gt;0,VLOOKUP(F$1,DA:EZ,24,FALSE),"")</f>
        <v>1</v>
      </c>
      <c r="M24" s="112"/>
      <c r="Z24" s="109"/>
      <c r="AC24" s="204" t="s">
        <v>180</v>
      </c>
      <c r="AD24" s="265">
        <v>0</v>
      </c>
      <c r="AG24" s="207" t="s">
        <v>87</v>
      </c>
      <c r="AH24" s="104" t="s">
        <v>128</v>
      </c>
    </row>
    <row r="25" spans="5:34" ht="27" customHeight="1">
      <c r="E25" s="57" t="s">
        <v>26</v>
      </c>
      <c r="F25" s="46" t="str">
        <f>IF(VLOOKUP(F$1,DA:EZ,25,FALSE)&lt;&gt;0,VLOOKUP(F$1,DA:EZ,25,FALSE),"")</f>
        <v>Collectif</v>
      </c>
      <c r="M25" s="107"/>
      <c r="Z25" s="109"/>
      <c r="AC25" s="201"/>
      <c r="AG25" s="207" t="s">
        <v>89</v>
      </c>
      <c r="AH25" s="104" t="s">
        <v>128</v>
      </c>
    </row>
    <row r="26" spans="5:34" ht="27" customHeight="1">
      <c r="E26" s="57" t="s">
        <v>27</v>
      </c>
      <c r="F26" s="46" t="str">
        <f>IF(VLOOKUP(F$1,DA:EZ,26,FALSE)&lt;&gt;0,VLOOKUP(F$1,DA:EZ,26,FALSE),"")</f>
        <v>Collectif</v>
      </c>
      <c r="Z26" s="109"/>
      <c r="AC26" s="205" t="s">
        <v>217</v>
      </c>
      <c r="AG26" s="207" t="s">
        <v>90</v>
      </c>
      <c r="AH26" s="104" t="s">
        <v>127</v>
      </c>
    </row>
    <row r="27" spans="5:34" ht="27" customHeight="1">
      <c r="E27" s="58" t="s">
        <v>223</v>
      </c>
      <c r="F27" s="46" t="str">
        <f>IF(VLOOKUP(F$1,DA:EZ,28,FALSE)&lt;&gt;0,VLOOKUP(F$1,DA:EZ,28,FALSE),"")</f>
        <v>TROIS CENT CINQUANTE EUROS</v>
      </c>
      <c r="Z27" s="109"/>
      <c r="AC27" s="297" t="s">
        <v>316</v>
      </c>
      <c r="AD27" s="298"/>
      <c r="AG27" s="207" t="s">
        <v>91</v>
      </c>
      <c r="AH27" s="104" t="s">
        <v>128</v>
      </c>
    </row>
    <row r="28" spans="5:34" ht="27" customHeight="1">
      <c r="E28" s="58" t="s">
        <v>222</v>
      </c>
      <c r="F28" s="46">
        <f>IF(VLOOKUP(F$1,DA:EZ,11,FALSE)&lt;&gt;0,VLOOKUP(F$1,DA:EZ,11,FALSE),"")</f>
        <v>350</v>
      </c>
      <c r="Z28" s="109"/>
      <c r="AC28" s="299"/>
      <c r="AD28" s="300"/>
      <c r="AG28" s="207" t="s">
        <v>92</v>
      </c>
      <c r="AH28" s="104" t="s">
        <v>127</v>
      </c>
    </row>
    <row r="29" spans="5:34" ht="27" customHeight="1">
      <c r="E29" s="57" t="s">
        <v>67</v>
      </c>
      <c r="F29" s="46" t="str">
        <f>IF(VLOOKUP(F$1,DA:EZ,27,FALSE)&lt;&gt;0,VLOOKUP(F$1,DA:EZ,27,FALSE),"")</f>
        <v>- 1 clé pour la chambre, 
1 clé pour la cave, 
1 clé boîte aux lettres,
 1 clés pour appartement</v>
      </c>
      <c r="AC29" s="299"/>
      <c r="AD29" s="300"/>
      <c r="AG29" s="207" t="s">
        <v>96</v>
      </c>
      <c r="AH29" s="104" t="s">
        <v>128</v>
      </c>
    </row>
    <row r="30" spans="5:34" ht="27" customHeight="1" thickBot="1">
      <c r="E30" s="58" t="s">
        <v>21</v>
      </c>
      <c r="F30" s="46" t="str">
        <f>IF(VLOOKUP(F$1,DA:EZ,29,FALSE)&lt;&gt;0,VLOOKUP(F$1,DA:EZ,29,FALSE),"")</f>
        <v>THOMAS</v>
      </c>
      <c r="AC30" s="299"/>
      <c r="AD30" s="300"/>
      <c r="AG30" s="208" t="s">
        <v>97</v>
      </c>
      <c r="AH30" s="105" t="s">
        <v>128</v>
      </c>
    </row>
    <row r="31" spans="5:30" ht="27" customHeight="1" thickBot="1">
      <c r="E31" s="310" t="s">
        <v>125</v>
      </c>
      <c r="F31" s="310"/>
      <c r="AC31" s="299"/>
      <c r="AD31" s="300"/>
    </row>
    <row r="32" spans="2:30" ht="27" customHeight="1">
      <c r="B32" s="35"/>
      <c r="E32" s="52" t="s">
        <v>86</v>
      </c>
      <c r="F32" s="46" t="str">
        <f>IF(VLOOKUP(F$1,DA:EZ,30,FALSE)&lt;&gt;0,VLOOKUP(F$1,DA:EZ,30,FALSE),"")</f>
        <v>Usage d'habitation</v>
      </c>
      <c r="AC32" s="299"/>
      <c r="AD32" s="300"/>
    </row>
    <row r="33" spans="2:30" ht="27" customHeight="1" thickBot="1">
      <c r="B33" s="51"/>
      <c r="AC33" s="299"/>
      <c r="AD33" s="300"/>
    </row>
    <row r="34" spans="5:30" ht="19.5" customHeight="1">
      <c r="E34" s="309" t="s">
        <v>126</v>
      </c>
      <c r="F34" s="309"/>
      <c r="G34" s="309"/>
      <c r="H34" s="309"/>
      <c r="I34" s="309"/>
      <c r="J34" s="309"/>
      <c r="AC34" s="299"/>
      <c r="AD34" s="300"/>
    </row>
    <row r="35" spans="5:30" ht="19.5" customHeight="1">
      <c r="E35" s="311" t="s">
        <v>98</v>
      </c>
      <c r="F35" s="311"/>
      <c r="AC35" s="299"/>
      <c r="AD35" s="300"/>
    </row>
    <row r="36" spans="29:30" ht="19.5" customHeight="1">
      <c r="AC36" s="299"/>
      <c r="AD36" s="300"/>
    </row>
    <row r="37" spans="5:30" ht="19.5" customHeight="1">
      <c r="E37" s="309" t="s">
        <v>93</v>
      </c>
      <c r="F37" s="309"/>
      <c r="G37" s="309"/>
      <c r="H37" s="309"/>
      <c r="I37" s="309"/>
      <c r="J37" s="309"/>
      <c r="AC37" s="299"/>
      <c r="AD37" s="300"/>
    </row>
    <row r="38" spans="5:30" ht="19.5" customHeight="1">
      <c r="E38" s="54" t="s">
        <v>88</v>
      </c>
      <c r="F38" s="49" t="str">
        <f>VLOOKUP(F$1,DA:EZ,31,FALSE)</f>
        <v>Non</v>
      </c>
      <c r="AC38" s="299"/>
      <c r="AD38" s="300"/>
    </row>
    <row r="39" spans="5:30" ht="19.5" customHeight="1">
      <c r="E39" s="54" t="s">
        <v>87</v>
      </c>
      <c r="F39" s="49" t="str">
        <f>VLOOKUP(F$1,DA:EZ,32,FALSE)</f>
        <v>Non</v>
      </c>
      <c r="AC39" s="299"/>
      <c r="AD39" s="300"/>
    </row>
    <row r="40" spans="5:30" ht="19.5" customHeight="1">
      <c r="E40" s="54" t="s">
        <v>89</v>
      </c>
      <c r="F40" s="49" t="str">
        <f>VLOOKUP(F$1,DA:EZ,33,FALSE)</f>
        <v>Non</v>
      </c>
      <c r="AC40" s="299"/>
      <c r="AD40" s="300"/>
    </row>
    <row r="41" spans="5:30" ht="19.5" customHeight="1">
      <c r="E41" s="54" t="s">
        <v>90</v>
      </c>
      <c r="F41" s="49" t="str">
        <f>VLOOKUP(F$1,DA:EZ,34,FALSE)</f>
        <v>Oui</v>
      </c>
      <c r="AC41" s="299"/>
      <c r="AD41" s="300"/>
    </row>
    <row r="42" spans="5:30" ht="19.5" customHeight="1">
      <c r="E42" s="54" t="s">
        <v>91</v>
      </c>
      <c r="F42" s="49" t="str">
        <f>VLOOKUP(F$1,DA:EZ,35,FALSE)</f>
        <v>Non</v>
      </c>
      <c r="AC42" s="299"/>
      <c r="AD42" s="300"/>
    </row>
    <row r="43" spans="5:30" ht="19.5" customHeight="1">
      <c r="E43" s="54" t="s">
        <v>92</v>
      </c>
      <c r="F43" s="49" t="str">
        <f>VLOOKUP(F$1,DA:EZ,36,FALSE)</f>
        <v>Oui</v>
      </c>
      <c r="AC43" s="301"/>
      <c r="AD43" s="302"/>
    </row>
    <row r="44" spans="5:6" ht="19.5" customHeight="1">
      <c r="E44" s="54" t="s">
        <v>96</v>
      </c>
      <c r="F44" s="49" t="str">
        <f>VLOOKUP(F$1,DA:EZ,37,FALSE)</f>
        <v>Non</v>
      </c>
    </row>
    <row r="45" spans="5:6" ht="19.5" customHeight="1">
      <c r="E45" s="54" t="s">
        <v>97</v>
      </c>
      <c r="F45" s="49" t="str">
        <f>VLOOKUP(F$1,DA:EZ,38,FALSE)</f>
        <v>Non</v>
      </c>
    </row>
    <row r="46" ht="19.5" customHeight="1"/>
    <row r="47" spans="5:6" ht="19.5" customHeight="1">
      <c r="E47" s="58" t="s">
        <v>217</v>
      </c>
      <c r="F47" s="46" t="str">
        <f>IF(VLOOKUP(F$1,DA:EZ,39,FALSE)&lt;&gt;0,VLOOKUP(F$1,DA:EZ,39,FALSE),"")</f>
        <v>Détail :</v>
      </c>
    </row>
    <row r="48" ht="19.5" customHeight="1"/>
    <row r="49" spans="5:9" ht="19.5" customHeight="1">
      <c r="E49" s="58" t="s">
        <v>16</v>
      </c>
      <c r="F49" s="46" t="str">
        <f>IF(VLOOKUP(F$1,DA:EZ,40,FALSE)&lt;&gt;0,VLOOKUP(F$1,DA:EZ,40,FALSE),"")</f>
        <v>GERENTON</v>
      </c>
      <c r="G49" s="1"/>
      <c r="I49" s="1"/>
    </row>
    <row r="50" spans="7:9" ht="19.5" customHeight="1">
      <c r="G50" s="1"/>
      <c r="I50" s="1"/>
    </row>
    <row r="51" spans="7:10" ht="19.5" customHeight="1">
      <c r="G51" s="1"/>
      <c r="I51" s="1"/>
      <c r="J51" s="1"/>
    </row>
    <row r="52" ht="19.5" customHeight="1"/>
    <row r="53" ht="19.5" customHeight="1"/>
    <row r="54" ht="19.5" customHeight="1"/>
    <row r="55" ht="19.5" customHeight="1"/>
    <row r="56" ht="19.5" customHeight="1"/>
    <row r="57" ht="19.5" customHeight="1"/>
    <row r="58" ht="19.5" customHeight="1"/>
    <row r="59" ht="19.5" customHeight="1"/>
    <row r="60" ht="19.5" customHeight="1">
      <c r="A60" s="50" t="s">
        <v>233</v>
      </c>
    </row>
    <row r="61" ht="19.5" customHeight="1">
      <c r="A61" s="50" t="s">
        <v>234</v>
      </c>
    </row>
    <row r="62" ht="19.5" customHeight="1">
      <c r="A62" s="50" t="s">
        <v>235</v>
      </c>
    </row>
    <row r="63" ht="19.5" customHeight="1">
      <c r="A63" s="50" t="s">
        <v>236</v>
      </c>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password="ED67" sheet="1" objects="1" scenarios="1"/>
  <mergeCells count="12">
    <mergeCell ref="B2:C2"/>
    <mergeCell ref="E31:F31"/>
    <mergeCell ref="E34:J34"/>
    <mergeCell ref="E35:F35"/>
    <mergeCell ref="S3:V3"/>
    <mergeCell ref="H2:I2"/>
    <mergeCell ref="E2:F2"/>
    <mergeCell ref="AC27:AD43"/>
    <mergeCell ref="AC3:AH3"/>
    <mergeCell ref="AG22:AH22"/>
    <mergeCell ref="X3:AA3"/>
    <mergeCell ref="E37:J37"/>
  </mergeCells>
  <conditionalFormatting sqref="L12 L18 L15">
    <cfRule type="cellIs" priority="18" dxfId="0" operator="equal" stopIfTrue="1">
      <formula>0</formula>
    </cfRule>
  </conditionalFormatting>
  <conditionalFormatting sqref="P16:P19">
    <cfRule type="cellIs" priority="13" dxfId="0" operator="equal" stopIfTrue="1">
      <formula>0</formula>
    </cfRule>
  </conditionalFormatting>
  <conditionalFormatting sqref="P11">
    <cfRule type="cellIs" priority="16" dxfId="0" operator="equal" stopIfTrue="1">
      <formula>0</formula>
    </cfRule>
  </conditionalFormatting>
  <conditionalFormatting sqref="P12:P14">
    <cfRule type="cellIs" priority="14" dxfId="0" operator="equal" stopIfTrue="1">
      <formula>0</formula>
    </cfRule>
  </conditionalFormatting>
  <conditionalFormatting sqref="P7">
    <cfRule type="cellIs" priority="4" dxfId="0" operator="equal" stopIfTrue="1">
      <formula>""</formula>
    </cfRule>
  </conditionalFormatting>
  <conditionalFormatting sqref="P5:P6">
    <cfRule type="cellIs" priority="3" dxfId="0" operator="equal" stopIfTrue="1">
      <formula>""</formula>
    </cfRule>
  </conditionalFormatting>
  <dataValidations count="20">
    <dataValidation type="list" allowBlank="1" showInputMessage="1" showErrorMessage="1" sqref="C19 P19">
      <formula1>"A ECHOIR,ECHU"</formula1>
    </dataValidation>
    <dataValidation type="list" allowBlank="1" showInputMessage="1" showErrorMessage="1" sqref="C18">
      <formula1>"DEPOT DE GARANTIE,AVIS D'ECHEANCE,QUITTANCE MENSUELLE,EDL,CHARGES MENSUELLES,BAIL"</formula1>
    </dataValidation>
    <dataValidation type="list" allowBlank="1" showInputMessage="1" showErrorMessage="1" sqref="C17">
      <formula1>"Location vide,Location meublé,Colocation meublé,"</formula1>
    </dataValidation>
    <dataValidation type="list" allowBlank="1" showInputMessage="1" showErrorMessage="1" sqref="C16">
      <formula1>"Chèque,Virement"</formula1>
    </dataValidation>
    <dataValidation type="list" allowBlank="1" showInputMessage="1" showErrorMessage="1" sqref="AH10 AH23:AH30">
      <formula1>"Oui,Non"</formula1>
    </dataValidation>
    <dataValidation type="list" allowBlank="1" showInputMessage="1" showErrorMessage="1" sqref="P18">
      <formula1>"LETTRE D'ENGAGEMENT GARANT,DEPOT DE GARANTIE,AVIS D'ECHEANCE,TOUS LES AVIS D'ECHEANCE,QUITTANCE MENSUELLE,ETAT DES LIEUX,CONTRAT - BAIL,BAIL - EXEMPLE,REVISION LOYER"</formula1>
    </dataValidation>
    <dataValidation type="list" allowBlank="1" showInputMessage="1" showErrorMessage="1" sqref="AH21">
      <formula1>"Usage d'habitation,Usage mixte professionnel et d'habitation"</formula1>
    </dataValidation>
    <dataValidation type="list" allowBlank="1" showInputMessage="1" showErrorMessage="1" sqref="P17">
      <formula1>"Location vide,Location meublée,Colocation meublée,"</formula1>
    </dataValidation>
    <dataValidation type="list" allowBlank="1" showInputMessage="1" showErrorMessage="1" sqref="AD23">
      <formula1>"PROVISIONS CHARGES,FORFAIT CHARGES"</formula1>
    </dataValidation>
    <dataValidation operator="greaterThanOrEqual" allowBlank="1" showInputMessage="1" showErrorMessage="1" errorTitle="Date inférieur date de début ?!?" error="Saisir une date supérieur ou égale à la date de début de la période" sqref="P12"/>
    <dataValidation operator="lessThanOrEqual" allowBlank="1" showInputMessage="1" showErrorMessage="1" errorTitle="Date supérieur à date de fin !?!" error="Saisir une date inférieur ou égale à la date de fin de la période" sqref="P11"/>
    <dataValidation type="list" allowBlank="1" showInputMessage="1" showErrorMessage="1" sqref="Z5">
      <formula1>"Mr,Mme,Mr et Mme"</formula1>
    </dataValidation>
    <dataValidation type="list" allowBlank="1" showInputMessage="1" showErrorMessage="1" sqref="P16">
      <formula1>"Espèces,Chèque,Virement"</formula1>
    </dataValidation>
    <dataValidation type="list" allowBlank="1" showInputMessage="1" showErrorMessage="1" sqref="U5">
      <formula1>"SAS,SCI,Mr,Mme,Mr et Mme"</formula1>
    </dataValidation>
    <dataValidation type="date" operator="greaterThan" allowBlank="1" showInputMessage="1" showErrorMessage="1" errorTitle="Alerte de saisie" error="Erreur de saisie.&#10;Merci de saisir une date valide !&#10;" sqref="Z10:Z11">
      <formula1>36161</formula1>
    </dataValidation>
    <dataValidation type="list" allowBlank="1" showInputMessage="1" showErrorMessage="1" sqref="L18">
      <formula1>CA2:CA4</formula1>
    </dataValidation>
    <dataValidation type="list" allowBlank="1" showInputMessage="1" showErrorMessage="1" sqref="AD7">
      <formula1>CA2:CA4</formula1>
    </dataValidation>
    <dataValidation type="list" allowBlank="1" showInputMessage="1" showErrorMessage="1" sqref="L12">
      <formula1>BA2:BA4</formula1>
    </dataValidation>
    <dataValidation type="list" allowBlank="1" showInputMessage="1" showErrorMessage="1" sqref="AD6">
      <formula1>BA2:BA4</formula1>
    </dataValidation>
    <dataValidation type="list" allowBlank="1" showInputMessage="1" showErrorMessage="1" sqref="L15">
      <formula1>DA2:DA4</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2" r:id="rId3"/>
  <drawing r:id="rId2"/>
  <legacyDrawing r:id="rId1"/>
</worksheet>
</file>

<file path=xl/worksheets/sheet4.xml><?xml version="1.0" encoding="utf-8"?>
<worksheet xmlns="http://schemas.openxmlformats.org/spreadsheetml/2006/main" xmlns:r="http://schemas.openxmlformats.org/officeDocument/2006/relationships">
  <sheetPr codeName="Feuil13">
    <pageSetUpPr fitToPage="1"/>
  </sheetPr>
  <dimension ref="A1:G22"/>
  <sheetViews>
    <sheetView showGridLines="0" zoomScalePageLayoutView="0" workbookViewId="0" topLeftCell="K4">
      <selection activeCell="D12" sqref="D12"/>
    </sheetView>
  </sheetViews>
  <sheetFormatPr defaultColWidth="11.421875" defaultRowHeight="12.75"/>
  <cols>
    <col min="1" max="1" width="81.57421875" style="160" customWidth="1"/>
    <col min="2" max="2" width="12.00390625" style="115" customWidth="1"/>
    <col min="3" max="3" width="2.7109375" style="115" customWidth="1"/>
    <col min="4" max="4" width="15.421875" style="115" customWidth="1"/>
    <col min="5" max="7" width="11.421875" style="115" customWidth="1"/>
    <col min="8" max="8" width="19.57421875" style="115" customWidth="1"/>
    <col min="9" max="16384" width="11.421875" style="115" customWidth="1"/>
  </cols>
  <sheetData>
    <row r="1" spans="2:3" ht="15">
      <c r="B1" s="114"/>
      <c r="C1" s="114"/>
    </row>
    <row r="2" spans="2:3" ht="15">
      <c r="B2" s="114"/>
      <c r="C2" s="114"/>
    </row>
    <row r="3" spans="2:3" ht="15">
      <c r="B3" s="114"/>
      <c r="C3" s="114"/>
    </row>
    <row r="4" spans="1:3" ht="15">
      <c r="A4" s="160" t="s">
        <v>200</v>
      </c>
      <c r="B4" s="114"/>
      <c r="C4" s="114"/>
    </row>
    <row r="5" spans="2:7" ht="15">
      <c r="B5" s="114"/>
      <c r="C5" s="114"/>
      <c r="D5" s="193" t="s">
        <v>185</v>
      </c>
      <c r="E5" s="161" t="s">
        <v>282</v>
      </c>
      <c r="G5" s="162" t="s">
        <v>258</v>
      </c>
    </row>
    <row r="6" spans="1:2" ht="63.75" customHeight="1">
      <c r="A6" s="196" t="str">
        <f>"Je soussigné"&amp;IF(D5&lt;&gt;"Mr","e "," ")&amp;D5&amp;" "&amp;E5&amp;"  né"&amp;IF(D5&lt;&gt;"Mr","e "," ")&amp;"le "&amp;G5&amp;" certifie avoir pris connaissance du bail annexé à la présente et déclare me porter caution pour "&amp;CONCATENATE(Saisie!I3," ",Saisie!I4," ",Saisie!I5)&amp;" au profit du bailleur "&amp;CONCATENATE(Saisie!C3," ",Saisie!C4," "&amp;Saisie!C5)&amp;", "&amp;Saisie!C12&amp;" du logement sis "&amp;CONCATENATE(Saisie!F7," ",Saisie!F8," ",Saisie!F9," ",Saisie!F12," ",Saisie!F11," ",Saisie!F10)</f>
        <v>Je soussigné Mr LAMBERT Franck  né le 15/05/1972 certifie avoir pris connaissance du bail annexé à la présente et déclare me porter caution pour Mr et Mme THOMAS Anne au profit du bailleur Mr et Mme GERENTON Anne, 25 RUE DE LA REPUBLIQUE 75014 PARIS du logement sis 25 Rue de Paris 06000 Paris -</v>
      </c>
      <c r="B6" s="197"/>
    </row>
    <row r="7" ht="12.75">
      <c r="A7" s="280"/>
    </row>
    <row r="8" ht="45" customHeight="1">
      <c r="A8" s="281" t="str">
        <f>"J'ai pris connaissance du montant du loyer de "&amp;Saisie!F6+Saisie!F3&amp;"€ par mois ("&amp;SpellNumber(Saisie!F6+Saisie!F3)&amp;"). Il sera révisé annuellement selon l'indice de référence des loyers publié par l'INSEE. (Période de référence de l'IRL indiquée sur le bail)."</f>
        <v>J'ai pris connaissance du montant du loyer de 350€ par mois (TROIS CENT CINQUANTE  EUROS). Il sera révisé annuellement selon l'indice de référence des loyers publié par l'INSEE. (Période de référence de l'IRL indiquée sur le bail).</v>
      </c>
    </row>
    <row r="9" ht="12.75">
      <c r="A9" s="280"/>
    </row>
    <row r="10" ht="63" customHeight="1">
      <c r="A10" s="281" t="str">
        <f>"Je m'engage à rembourser sur mes revenus et sur mes biens personnels les sommes dues par le locataire "&amp;CONCATENATE(Saisie!I3," ",Saisie!I4," ",Saisie!I5)&amp;"  en cas de défaillance de ce dernier. Je confirme avoir une parfaite connaissance de la nature et de l'étendue de mon engagement."</f>
        <v>Je m'engage à rembourser sur mes revenus et sur mes biens personnels les sommes dues par le locataire Mr et Mme THOMAS Anne  en cas de défaillance de ce dernier. Je confirme avoir une parfaite connaissance de la nature et de l'étendue de mon engagement.</v>
      </c>
    </row>
    <row r="11" ht="12.75">
      <c r="A11" s="280"/>
    </row>
    <row r="12" ht="52.5">
      <c r="A12" s="281" t="str">
        <f>"Cet engagement pour une caution simple est valable jusqu'au départ du locataire "&amp;CONCATENATE(Saisie!I3," ",Saisie!I4," ",Saisie!I5)&amp;"  et pour le paiement notamment des loyers éventuellement révisés, des indemnités d'occupation, des dégradations et réparations locatives et des frais de procédures, indemnités, pénalités et dommages-intérêts. "</f>
        <v>Cet engagement pour une caution simple est valable jusqu'au départ du locataire Mr et Mme THOMAS Anne  et pour le paiement notamment des loyers éventuellement révisés, des indemnités d'occupation, des dégradations et réparations locatives et des frais de procédures, indemnités, pénalités et dommages-intérêts. </v>
      </c>
    </row>
    <row r="13" ht="12.75">
      <c r="A13" s="280"/>
    </row>
    <row r="14" ht="85.5" customHeight="1">
      <c r="A14" s="281" t="s">
        <v>201</v>
      </c>
    </row>
    <row r="15" ht="12.75">
      <c r="A15" s="280"/>
    </row>
    <row r="16" ht="12.75">
      <c r="A16" s="280" t="s">
        <v>202</v>
      </c>
    </row>
    <row r="17" ht="12.75">
      <c r="A17" s="280"/>
    </row>
    <row r="18" ht="12.75">
      <c r="A18" s="280" t="s">
        <v>203</v>
      </c>
    </row>
    <row r="19" ht="12.75">
      <c r="A19" s="280"/>
    </row>
    <row r="20" ht="12.75">
      <c r="A20" s="280" t="s">
        <v>204</v>
      </c>
    </row>
    <row r="21" ht="12.75">
      <c r="A21" s="280"/>
    </row>
    <row r="22" ht="12.75">
      <c r="A22" s="280" t="s">
        <v>205</v>
      </c>
    </row>
    <row r="55" ht="12.75"/>
    <row r="56" ht="12.75"/>
    <row r="57" ht="12.75"/>
    <row r="58" ht="12.75"/>
    <row r="59" ht="12.75"/>
    <row r="60" ht="12.75"/>
    <row r="83" ht="12.75"/>
    <row r="84" ht="12.75"/>
    <row r="85" ht="12.75"/>
    <row r="86" ht="12.75"/>
    <row r="87" ht="12.75"/>
    <row r="88" ht="12.75"/>
    <row r="172" ht="12.75"/>
    <row r="173" ht="12.75"/>
    <row r="174" ht="12.75"/>
    <row r="175" ht="12.75"/>
  </sheetData>
  <sheetProtection sheet="1" objects="1" scenarios="1"/>
  <printOptions/>
  <pageMargins left="0.7" right="0.7" top="0.75" bottom="0.75" header="0.3" footer="0.3"/>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N38"/>
  <sheetViews>
    <sheetView showGridLines="0" zoomScale="70" zoomScaleNormal="70" zoomScalePageLayoutView="0" workbookViewId="0" topLeftCell="A1">
      <selection activeCell="G25" sqref="G25"/>
    </sheetView>
  </sheetViews>
  <sheetFormatPr defaultColWidth="11.421875" defaultRowHeight="12.75"/>
  <cols>
    <col min="1" max="1" width="55.57421875" style="1" bestFit="1" customWidth="1"/>
    <col min="2" max="2" width="11.00390625" style="1" customWidth="1"/>
    <col min="3" max="3" width="4.140625" style="1" customWidth="1"/>
    <col min="4" max="16384" width="11.421875" style="1" customWidth="1"/>
  </cols>
  <sheetData>
    <row r="1" spans="1:14" ht="47.25" customHeight="1">
      <c r="A1" s="312" t="s">
        <v>333</v>
      </c>
      <c r="B1" s="313"/>
      <c r="C1" s="313"/>
      <c r="D1" s="313"/>
      <c r="E1" s="313"/>
      <c r="H1" s="314" t="s">
        <v>162</v>
      </c>
      <c r="I1" s="314"/>
      <c r="J1" s="314"/>
      <c r="K1" s="314"/>
      <c r="L1" s="314"/>
      <c r="M1" s="314"/>
      <c r="N1" s="314"/>
    </row>
    <row r="2" spans="8:14" ht="12.75">
      <c r="H2" s="314"/>
      <c r="I2" s="314"/>
      <c r="J2" s="314"/>
      <c r="K2" s="314"/>
      <c r="L2" s="314"/>
      <c r="M2" s="314"/>
      <c r="N2" s="314"/>
    </row>
    <row r="3" spans="1:14" ht="15">
      <c r="A3" s="21" t="str">
        <f>CONCATENATE("Date d’émission : ",IF(LEN(DAY(Saisie!C9))&lt;2,CONCATENATE(0,DAY(Saisie!C9)),DAY(Saisie!C9)),"/",IF(LEN(MONTH(Saisie!C9))&lt;2,CONCATENATE(0,MONTH(Saisie!C9)),MONTH(Saisie!C9)),"/",YEAR(Saisie!C9))</f>
        <v>Date d’émission : 25/04/2020</v>
      </c>
      <c r="B3" s="9"/>
      <c r="H3" s="314"/>
      <c r="I3" s="314"/>
      <c r="J3" s="314"/>
      <c r="K3" s="314"/>
      <c r="L3" s="314"/>
      <c r="M3" s="314"/>
      <c r="N3" s="314"/>
    </row>
    <row r="4" spans="1:14" ht="15">
      <c r="A4" s="21" t="str">
        <f>CONCATENATE("Période ",Saisie!C19," du ",IF(LEN(DAY(Saisie!C6))&lt;2,CONCATENATE(0,DAY(Saisie!C6)),DAY(Saisie!C6)),"/",IF(LEN(MONTH(Saisie!C6))&lt;2,CONCATENATE(0,MONTH(Saisie!C6)),MONTH(Saisie!C6)),"/",YEAR(Saisie!C6)," au ",IF(LEN(DAY(Saisie!C7))&lt;2,CONCATENATE(0,DAY(Saisie!C7)),DAY(Saisie!C7)),"/",IF(LEN(MONTH(Saisie!C7))&lt;2,CONCATENATE(0,MONTH(Saisie!C7)),MONTH(Saisie!C7)),"/",YEAR(Saisie!C7))</f>
        <v>Période A ECHOIR du 01/05/2020 au 31/05/2020</v>
      </c>
      <c r="B4" s="8"/>
      <c r="C4" s="10"/>
      <c r="D4" s="7"/>
      <c r="E4" s="7"/>
      <c r="H4" s="314"/>
      <c r="I4" s="314"/>
      <c r="J4" s="314"/>
      <c r="K4" s="314"/>
      <c r="L4" s="314"/>
      <c r="M4" s="314"/>
      <c r="N4" s="314"/>
    </row>
    <row r="5" spans="1:14" ht="15">
      <c r="A5" s="4"/>
      <c r="H5" s="314"/>
      <c r="I5" s="314"/>
      <c r="J5" s="314"/>
      <c r="K5" s="314"/>
      <c r="L5" s="314"/>
      <c r="M5" s="314"/>
      <c r="N5" s="314"/>
    </row>
    <row r="6" spans="1:14" ht="15">
      <c r="A6" s="4"/>
      <c r="H6" s="314"/>
      <c r="I6" s="314"/>
      <c r="J6" s="314"/>
      <c r="K6" s="314"/>
      <c r="L6" s="314"/>
      <c r="M6" s="314"/>
      <c r="N6" s="314"/>
    </row>
    <row r="7" spans="1:14" ht="15">
      <c r="A7" s="267" t="s">
        <v>318</v>
      </c>
      <c r="B7" s="268"/>
      <c r="C7" s="268"/>
      <c r="D7" s="268"/>
      <c r="E7" s="269"/>
      <c r="H7" s="314"/>
      <c r="I7" s="314"/>
      <c r="J7" s="314"/>
      <c r="K7" s="314"/>
      <c r="L7" s="314"/>
      <c r="M7" s="314"/>
      <c r="N7" s="314"/>
    </row>
    <row r="8" spans="1:14" ht="15.75">
      <c r="A8" s="11" t="str">
        <f>CONCATENATE(Saisie!C3," ",Saisie!C4," ",Saisie!C5)</f>
        <v>Mr et Mme GERENTON Anne</v>
      </c>
      <c r="B8" s="12"/>
      <c r="C8" s="12"/>
      <c r="D8" s="12"/>
      <c r="E8" s="13"/>
      <c r="H8" s="314"/>
      <c r="I8" s="314"/>
      <c r="J8" s="314"/>
      <c r="K8" s="314"/>
      <c r="L8" s="314"/>
      <c r="M8" s="314"/>
      <c r="N8" s="314"/>
    </row>
    <row r="9" spans="1:14" ht="14.25">
      <c r="A9" s="14"/>
      <c r="E9" s="15"/>
      <c r="H9" s="314"/>
      <c r="I9" s="314"/>
      <c r="J9" s="314"/>
      <c r="K9" s="314"/>
      <c r="L9" s="314"/>
      <c r="M9" s="314"/>
      <c r="N9" s="314"/>
    </row>
    <row r="10" spans="1:14" ht="15">
      <c r="A10" s="16" t="str">
        <f>CONCATENATE("Adresse :  ",Saisie!C12)</f>
        <v>Adresse :  25 RUE DE LA REPUBLIQUE 75014 PARIS</v>
      </c>
      <c r="E10" s="15"/>
      <c r="H10" s="314"/>
      <c r="I10" s="314"/>
      <c r="J10" s="314"/>
      <c r="K10" s="314"/>
      <c r="L10" s="314"/>
      <c r="M10" s="314"/>
      <c r="N10" s="314"/>
    </row>
    <row r="11" spans="1:14" ht="15">
      <c r="A11" s="16" t="str">
        <f>CONCATENATE("Tél : "," ",Saisie!C13)</f>
        <v>Tél :  0</v>
      </c>
      <c r="E11" s="15"/>
      <c r="H11" s="314"/>
      <c r="I11" s="314"/>
      <c r="J11" s="314"/>
      <c r="K11" s="314"/>
      <c r="L11" s="314"/>
      <c r="M11" s="314"/>
      <c r="N11" s="314"/>
    </row>
    <row r="12" spans="1:14" ht="15">
      <c r="A12" s="16" t="str">
        <f>CONCATENATE("mail : ",Saisie!C11)</f>
        <v>mail : justin@lautomatiseur.fr</v>
      </c>
      <c r="E12" s="15"/>
      <c r="H12" s="314"/>
      <c r="I12" s="314"/>
      <c r="J12" s="314"/>
      <c r="K12" s="314"/>
      <c r="L12" s="314"/>
      <c r="M12" s="314"/>
      <c r="N12" s="314"/>
    </row>
    <row r="13" spans="1:14" ht="15">
      <c r="A13" s="17"/>
      <c r="B13" s="18"/>
      <c r="C13" s="18"/>
      <c r="D13" s="18"/>
      <c r="E13" s="19"/>
      <c r="H13" s="314"/>
      <c r="I13" s="314"/>
      <c r="J13" s="314"/>
      <c r="K13" s="314"/>
      <c r="L13" s="314"/>
      <c r="M13" s="314"/>
      <c r="N13" s="314"/>
    </row>
    <row r="14" spans="1:14" ht="15">
      <c r="A14" s="20"/>
      <c r="H14" s="314"/>
      <c r="I14" s="314"/>
      <c r="J14" s="314"/>
      <c r="K14" s="314"/>
      <c r="L14" s="314"/>
      <c r="M14" s="314"/>
      <c r="N14" s="314"/>
    </row>
    <row r="15" spans="1:14" ht="15">
      <c r="A15" s="20"/>
      <c r="H15" s="314"/>
      <c r="I15" s="314"/>
      <c r="J15" s="314"/>
      <c r="K15" s="314"/>
      <c r="L15" s="314"/>
      <c r="M15" s="314"/>
      <c r="N15" s="314"/>
    </row>
    <row r="16" spans="1:14" ht="15">
      <c r="A16" s="267" t="s">
        <v>319</v>
      </c>
      <c r="B16" s="268"/>
      <c r="C16" s="268"/>
      <c r="D16" s="268"/>
      <c r="E16" s="269"/>
      <c r="H16" s="314"/>
      <c r="I16" s="314"/>
      <c r="J16" s="314"/>
      <c r="K16" s="314"/>
      <c r="L16" s="314"/>
      <c r="M16" s="314"/>
      <c r="N16" s="314"/>
    </row>
    <row r="17" spans="1:14" ht="30.75" customHeight="1">
      <c r="A17" s="315" t="str">
        <f>CONCATENATE(Saisie!I3," ",Saisie!I4," ",Saisie!I5)</f>
        <v>Mr et Mme THOMAS Anne</v>
      </c>
      <c r="B17" s="316"/>
      <c r="C17" s="316"/>
      <c r="D17" s="316"/>
      <c r="E17" s="317"/>
      <c r="H17" s="314"/>
      <c r="I17" s="314"/>
      <c r="J17" s="314"/>
      <c r="K17" s="314"/>
      <c r="L17" s="314"/>
      <c r="M17" s="314"/>
      <c r="N17" s="314"/>
    </row>
    <row r="18" spans="1:14" ht="13.5">
      <c r="A18" s="14"/>
      <c r="E18" s="15"/>
      <c r="H18" s="314"/>
      <c r="I18" s="314"/>
      <c r="J18" s="314"/>
      <c r="K18" s="314"/>
      <c r="L18" s="314"/>
      <c r="M18" s="314"/>
      <c r="N18" s="314"/>
    </row>
    <row r="19" spans="1:14" ht="15">
      <c r="A19" s="16" t="str">
        <f>CONCATENATE("Adresse : ",Saisie!F7," ",Saisie!F8," ",Saisie!F9," ",Saisie!F12," ",Saisie!F11," ",Saisie!F10)</f>
        <v>Adresse : 25 Rue de Paris 06000 Paris -</v>
      </c>
      <c r="E19" s="15"/>
      <c r="H19" s="314"/>
      <c r="I19" s="314"/>
      <c r="J19" s="314"/>
      <c r="K19" s="314"/>
      <c r="L19" s="314"/>
      <c r="M19" s="314"/>
      <c r="N19" s="314"/>
    </row>
    <row r="20" spans="1:14" ht="15">
      <c r="A20" s="16" t="str">
        <f>CONCATENATE("Tél : ",Saisie!I7)</f>
        <v>Tél :  </v>
      </c>
      <c r="E20" s="15"/>
      <c r="H20" s="314"/>
      <c r="I20" s="314"/>
      <c r="J20" s="314"/>
      <c r="K20" s="314"/>
      <c r="L20" s="314"/>
      <c r="M20" s="314"/>
      <c r="N20" s="314"/>
    </row>
    <row r="21" spans="1:14" ht="15">
      <c r="A21" s="17" t="str">
        <f>CONCATENATE("mail : ",Saisie!I6)</f>
        <v>mail : justin@lautomatiseur.fr</v>
      </c>
      <c r="B21" s="18"/>
      <c r="C21" s="18"/>
      <c r="D21" s="18"/>
      <c r="E21" s="19"/>
      <c r="H21" s="314"/>
      <c r="I21" s="314"/>
      <c r="J21" s="314"/>
      <c r="K21" s="314"/>
      <c r="L21" s="314"/>
      <c r="M21" s="314"/>
      <c r="N21" s="314"/>
    </row>
    <row r="22" spans="1:14" ht="15">
      <c r="A22" s="20"/>
      <c r="H22" s="314"/>
      <c r="I22" s="314"/>
      <c r="J22" s="314"/>
      <c r="K22" s="314"/>
      <c r="L22" s="314"/>
      <c r="M22" s="314"/>
      <c r="N22" s="314"/>
    </row>
    <row r="23" spans="1:14" ht="15">
      <c r="A23" s="20"/>
      <c r="H23" s="314"/>
      <c r="I23" s="314"/>
      <c r="J23" s="314"/>
      <c r="K23" s="314"/>
      <c r="L23" s="314"/>
      <c r="M23" s="314"/>
      <c r="N23" s="314"/>
    </row>
    <row r="24" spans="1:14" ht="15">
      <c r="A24" s="20"/>
      <c r="H24" s="314"/>
      <c r="I24" s="314"/>
      <c r="J24" s="314"/>
      <c r="K24" s="314"/>
      <c r="L24" s="314"/>
      <c r="M24" s="314"/>
      <c r="N24" s="314"/>
    </row>
    <row r="25" spans="1:14" ht="15">
      <c r="A25" s="11" t="s">
        <v>41</v>
      </c>
      <c r="B25" s="12"/>
      <c r="C25" s="12"/>
      <c r="D25" s="12"/>
      <c r="E25" s="13"/>
      <c r="H25" s="314"/>
      <c r="I25" s="314"/>
      <c r="J25" s="314"/>
      <c r="K25" s="314"/>
      <c r="L25" s="314"/>
      <c r="M25" s="314"/>
      <c r="N25" s="314"/>
    </row>
    <row r="26" spans="1:14" ht="12.75">
      <c r="A26" s="146"/>
      <c r="E26" s="15"/>
      <c r="H26" s="314"/>
      <c r="I26" s="314"/>
      <c r="J26" s="314"/>
      <c r="K26" s="314"/>
      <c r="L26" s="314"/>
      <c r="M26" s="314"/>
      <c r="N26" s="314"/>
    </row>
    <row r="27" spans="1:14" ht="15" hidden="1">
      <c r="A27" s="16" t="s">
        <v>314</v>
      </c>
      <c r="D27" s="145"/>
      <c r="E27" s="15"/>
      <c r="H27" s="314"/>
      <c r="I27" s="314"/>
      <c r="J27" s="314"/>
      <c r="K27" s="314"/>
      <c r="L27" s="314"/>
      <c r="M27" s="314"/>
      <c r="N27" s="314"/>
    </row>
    <row r="28" spans="1:14" ht="15" hidden="1">
      <c r="A28" s="16" t="s">
        <v>266</v>
      </c>
      <c r="E28" s="15"/>
      <c r="H28" s="314"/>
      <c r="I28" s="314"/>
      <c r="J28" s="314"/>
      <c r="K28" s="314"/>
      <c r="L28" s="314"/>
      <c r="M28" s="314"/>
      <c r="N28" s="314"/>
    </row>
    <row r="29" spans="1:14" ht="15">
      <c r="A29" s="17" t="s">
        <v>334</v>
      </c>
      <c r="B29" s="18"/>
      <c r="C29" s="18"/>
      <c r="D29" s="18"/>
      <c r="E29" s="19"/>
      <c r="H29" s="314"/>
      <c r="I29" s="314"/>
      <c r="J29" s="314"/>
      <c r="K29" s="314"/>
      <c r="L29" s="314"/>
      <c r="M29" s="314"/>
      <c r="N29" s="314"/>
    </row>
    <row r="30" spans="1:14" ht="15">
      <c r="A30" s="4"/>
      <c r="H30" s="314"/>
      <c r="I30" s="314"/>
      <c r="J30" s="314"/>
      <c r="K30" s="314"/>
      <c r="L30" s="314"/>
      <c r="M30" s="314"/>
      <c r="N30" s="314"/>
    </row>
    <row r="31" spans="1:14" ht="15">
      <c r="A31" s="4"/>
      <c r="H31" s="314"/>
      <c r="I31" s="314"/>
      <c r="J31" s="314"/>
      <c r="K31" s="314"/>
      <c r="L31" s="314"/>
      <c r="M31" s="314"/>
      <c r="N31" s="314"/>
    </row>
    <row r="32" spans="1:14" ht="15">
      <c r="A32" s="4"/>
      <c r="H32" s="314"/>
      <c r="I32" s="314"/>
      <c r="J32" s="314"/>
      <c r="K32" s="314"/>
      <c r="L32" s="314"/>
      <c r="M32" s="314"/>
      <c r="N32" s="314"/>
    </row>
    <row r="33" spans="1:14" ht="15">
      <c r="A33" s="4"/>
      <c r="H33" s="314"/>
      <c r="I33" s="314"/>
      <c r="J33" s="314"/>
      <c r="K33" s="314"/>
      <c r="L33" s="314"/>
      <c r="M33" s="314"/>
      <c r="N33" s="314"/>
    </row>
    <row r="34" spans="1:14" ht="15">
      <c r="A34" s="4"/>
      <c r="H34" s="314"/>
      <c r="I34" s="314"/>
      <c r="J34" s="314"/>
      <c r="K34" s="314"/>
      <c r="L34" s="314"/>
      <c r="M34" s="314"/>
      <c r="N34" s="314"/>
    </row>
    <row r="35" spans="1:14" ht="15">
      <c r="A35" s="4" t="str">
        <f>CONCATENATE("Fait à ",Saisie!C10," le ",IF(LEN(DAY(Saisie!C9))&lt;2,CONCATENATE(0,DAY(Saisie!C9)),DAY(Saisie!C9)),"/",IF(LEN(MONTH(Saisie!C9))&lt;2,CONCATENATE(0,MONTH(Saisie!C9)),MONTH(Saisie!C9)),"/",YEAR(Saisie!C9))</f>
        <v>Fait à PARIS le 25/04/2020</v>
      </c>
      <c r="H35" s="314"/>
      <c r="I35" s="314"/>
      <c r="J35" s="314"/>
      <c r="K35" s="314"/>
      <c r="L35" s="314"/>
      <c r="M35" s="314"/>
      <c r="N35" s="314"/>
    </row>
    <row r="36" spans="1:14" ht="15">
      <c r="A36" s="5"/>
      <c r="H36" s="314"/>
      <c r="I36" s="314"/>
      <c r="J36" s="314"/>
      <c r="K36" s="314"/>
      <c r="L36" s="314"/>
      <c r="M36" s="314"/>
      <c r="N36" s="314"/>
    </row>
    <row r="37" ht="15">
      <c r="A37" s="5"/>
    </row>
    <row r="38" ht="15">
      <c r="A38" s="6"/>
    </row>
    <row r="39" ht="12.75"/>
    <row r="40" ht="12.75"/>
    <row r="41" ht="12.75"/>
    <row r="42" ht="12.75"/>
    <row r="43" ht="12.75"/>
    <row r="44" ht="12.75"/>
    <row r="45" ht="12.75"/>
    <row r="70" ht="12.75"/>
    <row r="71" ht="12.75"/>
    <row r="72" ht="12.75"/>
    <row r="73" ht="12.75"/>
    <row r="74" ht="12.75"/>
    <row r="75" ht="12.75"/>
    <row r="76" ht="12.75"/>
    <row r="77" ht="12.75"/>
    <row r="78" ht="12.75"/>
    <row r="98" ht="12.75"/>
    <row r="99" ht="12.75"/>
    <row r="100" ht="12.75"/>
    <row r="101" ht="12.75"/>
    <row r="102" ht="12.75"/>
    <row r="103" ht="12.75"/>
    <row r="104" ht="12.75"/>
    <row r="105" ht="12.75"/>
    <row r="106" ht="12.75"/>
    <row r="190" ht="12.75"/>
    <row r="191" ht="12.75"/>
    <row r="192" ht="12.75"/>
    <row r="193" ht="12.75"/>
    <row r="194" ht="12.75"/>
  </sheetData>
  <sheetProtection password="ED67" sheet="1" objects="1" scenarios="1"/>
  <mergeCells count="3">
    <mergeCell ref="A1:E1"/>
    <mergeCell ref="H1:N36"/>
    <mergeCell ref="A17:E17"/>
  </mergeCells>
  <printOptions horizontalCentered="1"/>
  <pageMargins left="0.11811023622047245" right="0.11811023622047245" top="0.7480314960629921" bottom="0.7480314960629921"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12">
    <pageSetUpPr fitToPage="1"/>
  </sheetPr>
  <dimension ref="A1:L49"/>
  <sheetViews>
    <sheetView showGridLines="0" zoomScalePageLayoutView="0" workbookViewId="0" topLeftCell="K28">
      <selection activeCell="A17" sqref="A17:B25"/>
    </sheetView>
  </sheetViews>
  <sheetFormatPr defaultColWidth="11.421875" defaultRowHeight="12.75"/>
  <cols>
    <col min="1" max="1" width="39.57421875" style="115" customWidth="1"/>
    <col min="2" max="2" width="51.140625" style="115" customWidth="1"/>
    <col min="3" max="3" width="2.7109375" style="115" customWidth="1"/>
    <col min="4" max="4" width="15.421875" style="115" customWidth="1"/>
    <col min="5" max="7" width="11.421875" style="115" customWidth="1"/>
    <col min="8" max="8" width="19.57421875" style="115" customWidth="1"/>
    <col min="9" max="16384" width="11.421875" style="115" customWidth="1"/>
  </cols>
  <sheetData>
    <row r="1" spans="1:3" ht="15">
      <c r="A1" s="114" t="str">
        <f>Saisie!C3&amp;" "&amp;Saisie!C4&amp;" "&amp;Saisie!C5</f>
        <v>Mr et Mme GERENTON Anne</v>
      </c>
      <c r="B1" s="114"/>
      <c r="C1" s="114"/>
    </row>
    <row r="2" spans="1:3" ht="15">
      <c r="A2" s="114"/>
      <c r="B2" s="114"/>
      <c r="C2" s="114"/>
    </row>
    <row r="3" spans="1:3" ht="15">
      <c r="A3" s="114" t="str">
        <f>Saisie!C12</f>
        <v>25 RUE DE LA REPUBLIQUE 75014 PARIS</v>
      </c>
      <c r="B3" s="114"/>
      <c r="C3" s="114"/>
    </row>
    <row r="4" spans="1:3" ht="15">
      <c r="A4" s="114"/>
      <c r="B4" s="114"/>
      <c r="C4" s="114"/>
    </row>
    <row r="5" spans="1:3" ht="15">
      <c r="A5" s="114" t="str">
        <f>Saisie!C11</f>
        <v>justin@lautomatiseur.fr</v>
      </c>
      <c r="B5" s="114"/>
      <c r="C5" s="114"/>
    </row>
    <row r="6" spans="1:3" ht="15">
      <c r="A6" s="114"/>
      <c r="B6" s="114"/>
      <c r="C6" s="114"/>
    </row>
    <row r="7" spans="1:5" ht="25.5" customHeight="1">
      <c r="A7" s="114"/>
      <c r="B7" s="114"/>
      <c r="C7" s="114"/>
      <c r="E7" s="209"/>
    </row>
    <row r="8" spans="1:3" ht="15">
      <c r="A8" s="114"/>
      <c r="B8" s="114"/>
      <c r="C8" s="114"/>
    </row>
    <row r="9" spans="1:3" ht="15">
      <c r="A9" s="114"/>
      <c r="B9" s="114"/>
      <c r="C9" s="114"/>
    </row>
    <row r="10" spans="1:3" ht="15">
      <c r="A10" s="114"/>
      <c r="B10" s="116" t="str">
        <f>"Fait à "&amp;Saisie!C10&amp;", le "&amp;TEXT(Saisie!C9,"jj/mm/aaaa")</f>
        <v>Fait à PARIS, le 25/04/2020</v>
      </c>
      <c r="C10" s="116"/>
    </row>
    <row r="11" spans="1:3" ht="15">
      <c r="A11" s="114"/>
      <c r="B11" s="114"/>
      <c r="C11" s="114"/>
    </row>
    <row r="12" spans="1:3" ht="15">
      <c r="A12" s="114"/>
      <c r="B12" s="114"/>
      <c r="C12" s="114"/>
    </row>
    <row r="13" spans="1:3" ht="15">
      <c r="A13" s="117" t="s">
        <v>70</v>
      </c>
      <c r="B13" s="114"/>
      <c r="C13" s="114"/>
    </row>
    <row r="14" spans="1:3" ht="15">
      <c r="A14" s="114"/>
      <c r="B14" s="114"/>
      <c r="C14" s="114"/>
    </row>
    <row r="15" spans="1:5" ht="45" customHeight="1">
      <c r="A15" s="114"/>
      <c r="B15" s="114"/>
      <c r="C15" s="114"/>
      <c r="E15" s="115" t="str">
        <f>Saisie!C3</f>
        <v>Mr et Mme</v>
      </c>
    </row>
    <row r="16" spans="1:5" ht="15">
      <c r="A16" s="114"/>
      <c r="B16" s="114"/>
      <c r="C16" s="114"/>
      <c r="E16" s="115" t="str">
        <f>Saisie!C1</f>
        <v>GERENTON</v>
      </c>
    </row>
    <row r="17" spans="1:5" ht="9" customHeight="1">
      <c r="A17" s="323" t="str">
        <f>Saisie!C3&amp;" "&amp;Saisie!C4&amp;" "&amp;Saisie!C5&amp;IF(Saisie!C3&lt;&gt;"Mr et Mme"," propriétaire"," propriétaires")&amp;" du logement situé au "&amp;Saisie!F7&amp;" "&amp;Saisie!F8&amp;" "&amp;Saisie!F9&amp;" "&amp;Saisie!F12&amp;" "&amp;Saisie!F11&amp;" "&amp;Saisie!F10&amp;" donné en "&amp;LOWER(Saisie!C17)&amp;"  à "&amp;Saisie!I3&amp;" "&amp;Saisie!I4&amp;" "&amp;Saisie!I5&amp;","&amp;IF(Saisie!C3&lt;&gt;"Mr et Mme"," déclare"," déclarons")&amp;" avoir reçu à titre de dépôt de garantie la somme de "&amp;Saisie!F28&amp;" euros ("&amp;_xlfn.SINGLE(SpellNumber(Saisie!F28))&amp;") par "&amp;LOWER(Saisie!C16)&amp;"."</f>
        <v>Mr et Mme GERENTON Anne propriétaires du logement situé au 25 Rue de Paris 06000 Paris - donné en location vide  à Mr et Mme THOMAS Anne, déclarons avoir reçu à titre de dépôt de garantie la somme de 350 euros (TROIS CENT CINQUANTE  EUROS) par virement.</v>
      </c>
      <c r="B17" s="323"/>
      <c r="C17" s="147"/>
      <c r="E17" s="115" t="str">
        <f>Saisie!C5</f>
        <v>Anne</v>
      </c>
    </row>
    <row r="18" spans="1:3" ht="9" customHeight="1">
      <c r="A18" s="323"/>
      <c r="B18" s="323"/>
      <c r="C18" s="147"/>
    </row>
    <row r="19" spans="1:3" ht="9" customHeight="1">
      <c r="A19" s="323"/>
      <c r="B19" s="323"/>
      <c r="C19" s="147"/>
    </row>
    <row r="20" spans="1:3" ht="9" customHeight="1">
      <c r="A20" s="323"/>
      <c r="B20" s="323"/>
      <c r="C20" s="147"/>
    </row>
    <row r="21" spans="1:3" ht="9" customHeight="1">
      <c r="A21" s="323"/>
      <c r="B21" s="323"/>
      <c r="C21" s="147"/>
    </row>
    <row r="22" spans="1:8" ht="9" customHeight="1">
      <c r="A22" s="323"/>
      <c r="B22" s="323"/>
      <c r="C22" s="147"/>
      <c r="H22" s="318" t="str">
        <f>IF(Saisie!C17="Colocation Meublée","COLOCATAIRE","LOCATAIRE")</f>
        <v>LOCATAIRE</v>
      </c>
    </row>
    <row r="23" spans="1:8" ht="9" customHeight="1">
      <c r="A23" s="323"/>
      <c r="B23" s="323"/>
      <c r="C23" s="147"/>
      <c r="H23" s="319"/>
    </row>
    <row r="24" spans="1:3" ht="9" customHeight="1">
      <c r="A24" s="323"/>
      <c r="B24" s="323"/>
      <c r="C24" s="147"/>
    </row>
    <row r="25" spans="1:3" ht="9" customHeight="1">
      <c r="A25" s="323"/>
      <c r="B25" s="323"/>
      <c r="C25" s="147"/>
    </row>
    <row r="26" spans="1:3" ht="4.5" customHeight="1">
      <c r="A26" s="114"/>
      <c r="B26" s="114"/>
      <c r="C26" s="114"/>
    </row>
    <row r="27" spans="1:12" ht="12.75" customHeight="1">
      <c r="A27" s="324" t="str">
        <f>CONCATENATE(D27,H22,I27)</f>
        <v>Il sera restitué dans un délai maximal de deux mois à compter du départ effectif du LOCATAIRE, déduction faite, le cas échéant, des sommes restant dues au BAILLEUR et des paiements dont ce dernier pourrait être tenu pour responsable. Le départ s'entend après complet déménagement et établissement de l'état des lieux et de l'inventaire contradictoire de sortie, exécution des réparations locatives et restitution de toutes les clés.</v>
      </c>
      <c r="B27" s="323"/>
      <c r="C27" s="148"/>
      <c r="D27" s="320" t="s">
        <v>194</v>
      </c>
      <c r="E27" s="320"/>
      <c r="F27" s="320"/>
      <c r="G27" s="320"/>
      <c r="I27" s="321" t="s">
        <v>193</v>
      </c>
      <c r="J27" s="321"/>
      <c r="K27" s="321"/>
      <c r="L27" s="321"/>
    </row>
    <row r="28" spans="1:12" ht="12.75" customHeight="1">
      <c r="A28" s="323"/>
      <c r="B28" s="323"/>
      <c r="C28" s="148"/>
      <c r="D28" s="320"/>
      <c r="E28" s="320"/>
      <c r="F28" s="320"/>
      <c r="G28" s="320"/>
      <c r="H28" s="151"/>
      <c r="I28" s="322"/>
      <c r="J28" s="322"/>
      <c r="K28" s="322"/>
      <c r="L28" s="322"/>
    </row>
    <row r="29" spans="1:12" ht="12.75" customHeight="1">
      <c r="A29" s="323"/>
      <c r="B29" s="323"/>
      <c r="C29" s="148"/>
      <c r="D29" s="320"/>
      <c r="E29" s="320"/>
      <c r="F29" s="320"/>
      <c r="G29" s="320"/>
      <c r="H29" s="151"/>
      <c r="I29" s="322"/>
      <c r="J29" s="322"/>
      <c r="K29" s="322"/>
      <c r="L29" s="322"/>
    </row>
    <row r="30" spans="1:12" ht="12.75" customHeight="1">
      <c r="A30" s="323"/>
      <c r="B30" s="323"/>
      <c r="C30" s="148"/>
      <c r="D30" s="320"/>
      <c r="E30" s="320"/>
      <c r="F30" s="320"/>
      <c r="G30" s="320"/>
      <c r="H30" s="151"/>
      <c r="I30" s="322"/>
      <c r="J30" s="322"/>
      <c r="K30" s="322"/>
      <c r="L30" s="322"/>
    </row>
    <row r="31" spans="1:12" ht="12.75" customHeight="1">
      <c r="A31" s="323"/>
      <c r="B31" s="323"/>
      <c r="C31" s="148"/>
      <c r="D31" s="320"/>
      <c r="E31" s="320"/>
      <c r="F31" s="320"/>
      <c r="G31" s="320"/>
      <c r="H31" s="151"/>
      <c r="I31" s="322"/>
      <c r="J31" s="322"/>
      <c r="K31" s="322"/>
      <c r="L31" s="322"/>
    </row>
    <row r="32" spans="1:12" ht="12.75" customHeight="1">
      <c r="A32" s="323"/>
      <c r="B32" s="323"/>
      <c r="C32" s="148"/>
      <c r="D32" s="320"/>
      <c r="E32" s="320"/>
      <c r="F32" s="320"/>
      <c r="G32" s="320"/>
      <c r="H32" s="151"/>
      <c r="I32" s="322"/>
      <c r="J32" s="322"/>
      <c r="K32" s="322"/>
      <c r="L32" s="322"/>
    </row>
    <row r="33" spans="1:12" ht="12.75" customHeight="1">
      <c r="A33" s="323"/>
      <c r="B33" s="323"/>
      <c r="C33" s="148"/>
      <c r="D33" s="320"/>
      <c r="E33" s="320"/>
      <c r="F33" s="320"/>
      <c r="G33" s="320"/>
      <c r="H33" s="151"/>
      <c r="I33" s="322"/>
      <c r="J33" s="322"/>
      <c r="K33" s="322"/>
      <c r="L33" s="322"/>
    </row>
    <row r="34" spans="1:12" ht="12.75" customHeight="1">
      <c r="A34" s="323"/>
      <c r="B34" s="323"/>
      <c r="C34" s="148"/>
      <c r="D34" s="320"/>
      <c r="E34" s="320"/>
      <c r="F34" s="320"/>
      <c r="G34" s="320"/>
      <c r="H34" s="151"/>
      <c r="I34" s="322"/>
      <c r="J34" s="322"/>
      <c r="K34" s="322"/>
      <c r="L34" s="322"/>
    </row>
    <row r="35" spans="1:12" ht="12.75" customHeight="1">
      <c r="A35" s="323"/>
      <c r="B35" s="323"/>
      <c r="C35" s="148"/>
      <c r="D35" s="320"/>
      <c r="E35" s="320"/>
      <c r="F35" s="320"/>
      <c r="G35" s="320"/>
      <c r="H35" s="151"/>
      <c r="I35" s="322"/>
      <c r="J35" s="322"/>
      <c r="K35" s="322"/>
      <c r="L35" s="322"/>
    </row>
    <row r="36" spans="1:12" ht="15">
      <c r="A36" s="114"/>
      <c r="B36" s="114"/>
      <c r="C36" s="114"/>
      <c r="D36" s="320"/>
      <c r="E36" s="320"/>
      <c r="F36" s="320"/>
      <c r="G36" s="320"/>
      <c r="I36" s="322"/>
      <c r="J36" s="322"/>
      <c r="K36" s="322"/>
      <c r="L36" s="322"/>
    </row>
    <row r="37" spans="1:12" ht="15">
      <c r="A37" s="114"/>
      <c r="B37" s="114"/>
      <c r="C37" s="114"/>
      <c r="D37" s="320"/>
      <c r="E37" s="320"/>
      <c r="F37" s="320"/>
      <c r="G37" s="320"/>
      <c r="I37" s="322"/>
      <c r="J37" s="322"/>
      <c r="K37" s="322"/>
      <c r="L37" s="322"/>
    </row>
    <row r="38" spans="1:12" ht="15">
      <c r="A38" s="114"/>
      <c r="B38" s="114"/>
      <c r="C38" s="114"/>
      <c r="D38" s="320"/>
      <c r="E38" s="320"/>
      <c r="F38" s="320"/>
      <c r="G38" s="320"/>
      <c r="I38" s="322"/>
      <c r="J38" s="322"/>
      <c r="K38" s="322"/>
      <c r="L38" s="322"/>
    </row>
    <row r="39" spans="1:3" ht="15">
      <c r="A39" s="114"/>
      <c r="B39" s="114"/>
      <c r="C39" s="114"/>
    </row>
    <row r="40" spans="1:3" ht="15">
      <c r="A40" s="114"/>
      <c r="B40" s="116" t="str">
        <f>A1</f>
        <v>Mr et Mme GERENTON Anne</v>
      </c>
      <c r="C40" s="116"/>
    </row>
    <row r="41" spans="1:3" ht="15">
      <c r="A41" s="114"/>
      <c r="B41" s="114"/>
      <c r="C41" s="114"/>
    </row>
    <row r="42" spans="1:3" ht="15">
      <c r="A42" s="114"/>
      <c r="B42" s="114"/>
      <c r="C42" s="114"/>
    </row>
    <row r="43" spans="1:3" ht="15">
      <c r="A43" s="114" t="s">
        <v>71</v>
      </c>
      <c r="B43" s="114"/>
      <c r="C43" s="114"/>
    </row>
    <row r="44" spans="1:3" ht="15">
      <c r="A44" s="114"/>
      <c r="B44" s="114"/>
      <c r="C44" s="114"/>
    </row>
    <row r="45" spans="1:3" ht="15">
      <c r="A45" s="114"/>
      <c r="B45" s="114"/>
      <c r="C45" s="114"/>
    </row>
    <row r="46" spans="1:3" ht="15">
      <c r="A46" s="114"/>
      <c r="B46" s="114"/>
      <c r="C46" s="114"/>
    </row>
    <row r="47" spans="1:3" ht="15">
      <c r="A47" s="114"/>
      <c r="B47" s="114"/>
      <c r="C47" s="114"/>
    </row>
    <row r="48" spans="1:3" ht="15">
      <c r="A48" s="114"/>
      <c r="B48" s="114"/>
      <c r="C48" s="114"/>
    </row>
    <row r="49" spans="1:3" ht="15">
      <c r="A49" s="114"/>
      <c r="B49" s="114"/>
      <c r="C49" s="114"/>
    </row>
    <row r="77" ht="12.75"/>
    <row r="78" ht="12.75"/>
    <row r="79" ht="12.75"/>
    <row r="80" ht="12.75"/>
    <row r="81" ht="12.75"/>
    <row r="82" ht="12.75"/>
    <row r="83" ht="12.75"/>
    <row r="84" ht="12.75"/>
    <row r="104" ht="12.75"/>
    <row r="105" ht="12.75"/>
    <row r="106" ht="12.75"/>
    <row r="107" ht="12.75"/>
    <row r="108" ht="12.75"/>
    <row r="109" ht="12.75"/>
    <row r="110" ht="12.75"/>
    <row r="111" ht="12.75"/>
    <row r="194" ht="12.75"/>
    <row r="195" ht="12.75"/>
    <row r="196" ht="12.75"/>
    <row r="197" ht="12.75"/>
    <row r="198" ht="12.75"/>
  </sheetData>
  <sheetProtection sheet="1" objects="1" scenarios="1"/>
  <mergeCells count="5">
    <mergeCell ref="H22:H23"/>
    <mergeCell ref="D27:G38"/>
    <mergeCell ref="I27:L38"/>
    <mergeCell ref="A17:B25"/>
    <mergeCell ref="A27:B35"/>
  </mergeCells>
  <printOptions/>
  <pageMargins left="0.7" right="0.7" top="0.75" bottom="0.75" header="0.3" footer="0.3"/>
  <pageSetup fitToHeight="0"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Feuil4">
    <pageSetUpPr fitToPage="1"/>
  </sheetPr>
  <dimension ref="A1:F28"/>
  <sheetViews>
    <sheetView showGridLines="0" zoomScalePageLayoutView="0" workbookViewId="0" topLeftCell="A25">
      <selection activeCell="D12" sqref="D12"/>
    </sheetView>
  </sheetViews>
  <sheetFormatPr defaultColWidth="11.421875" defaultRowHeight="12.75"/>
  <cols>
    <col min="1" max="6" width="14.7109375" style="1" customWidth="1"/>
    <col min="7" max="16384" width="11.421875" style="1" customWidth="1"/>
  </cols>
  <sheetData>
    <row r="1" spans="1:6" ht="33" customHeight="1">
      <c r="A1" s="349" t="s">
        <v>47</v>
      </c>
      <c r="B1" s="350"/>
      <c r="C1" s="350"/>
      <c r="D1" s="350"/>
      <c r="E1" s="350"/>
      <c r="F1" s="351"/>
    </row>
    <row r="2" spans="1:6" ht="20.25">
      <c r="A2" s="25"/>
      <c r="C2" s="340" t="s">
        <v>335</v>
      </c>
      <c r="D2" s="340"/>
      <c r="E2" s="26"/>
      <c r="F2" s="15"/>
    </row>
    <row r="3" spans="1:6" ht="12.75">
      <c r="A3" s="27"/>
      <c r="B3" s="18"/>
      <c r="C3" s="18"/>
      <c r="D3" s="18"/>
      <c r="E3" s="18"/>
      <c r="F3" s="19"/>
    </row>
    <row r="4" ht="12.75"/>
    <row r="5" ht="12.75"/>
    <row r="6" spans="1:6" ht="13.5">
      <c r="A6" s="348" t="s">
        <v>52</v>
      </c>
      <c r="B6" s="348"/>
      <c r="C6" s="348"/>
      <c r="D6" s="348"/>
      <c r="E6" s="348"/>
      <c r="F6" s="348"/>
    </row>
    <row r="7" spans="1:6" ht="12.75">
      <c r="A7" s="346" t="s">
        <v>48</v>
      </c>
      <c r="B7" s="339"/>
      <c r="C7" s="352" t="str">
        <f>_xlfn.IFERROR(CONCATENATE(Saisie!C3," ",Saisie!C4," ",Saisie!C5),"")</f>
        <v>Mr et Mme GERENTON Anne</v>
      </c>
      <c r="D7" s="338"/>
      <c r="E7" s="338"/>
      <c r="F7" s="339"/>
    </row>
    <row r="8" spans="1:6" ht="12.75">
      <c r="A8" s="346" t="s">
        <v>49</v>
      </c>
      <c r="B8" s="339"/>
      <c r="C8" s="337" t="str">
        <f>_xlfn.IFERROR(Saisie!C12,"")</f>
        <v>25 RUE DE LA REPUBLIQUE 75014 PARIS</v>
      </c>
      <c r="D8" s="338"/>
      <c r="E8" s="338"/>
      <c r="F8" s="339"/>
    </row>
    <row r="9" spans="1:6" ht="12.75">
      <c r="A9" s="346" t="s">
        <v>50</v>
      </c>
      <c r="B9" s="339"/>
      <c r="C9" s="337">
        <f>_xlfn.IFERROR(Saisie!C13,"")</f>
        <v>0</v>
      </c>
      <c r="D9" s="338"/>
      <c r="E9" s="338"/>
      <c r="F9" s="339"/>
    </row>
    <row r="10" spans="1:6" ht="12.75">
      <c r="A10" s="346" t="s">
        <v>51</v>
      </c>
      <c r="B10" s="339"/>
      <c r="C10" s="337" t="str">
        <f>_xlfn.IFERROR(Saisie!C11,"")</f>
        <v>justin@lautomatiseur.fr</v>
      </c>
      <c r="D10" s="338"/>
      <c r="E10" s="338"/>
      <c r="F10" s="339"/>
    </row>
    <row r="11" spans="1:2" ht="12.75">
      <c r="A11" s="26"/>
      <c r="B11" s="26"/>
    </row>
    <row r="12" ht="12.75"/>
    <row r="13" ht="12.75"/>
    <row r="14" spans="1:6" ht="15">
      <c r="A14" s="348" t="s">
        <v>265</v>
      </c>
      <c r="B14" s="348"/>
      <c r="C14" s="348"/>
      <c r="D14" s="348"/>
      <c r="E14" s="348"/>
      <c r="F14" s="348"/>
    </row>
    <row r="15" spans="1:6" ht="27" customHeight="1">
      <c r="A15" s="346" t="s">
        <v>48</v>
      </c>
      <c r="B15" s="339"/>
      <c r="C15" s="341" t="str">
        <f>_xlfn.IFERROR(CONCATENATE(Saisie!I3," ",Saisie!I4," ",Saisie!I5),"")</f>
        <v>Mr et Mme THOMAS Anne</v>
      </c>
      <c r="D15" s="342"/>
      <c r="E15" s="342"/>
      <c r="F15" s="343"/>
    </row>
    <row r="16" spans="1:6" ht="12.75">
      <c r="A16" s="346" t="s">
        <v>50</v>
      </c>
      <c r="B16" s="339"/>
      <c r="C16" s="337" t="str">
        <f>_xlfn.IFERROR(Saisie!I7,"")</f>
        <v> </v>
      </c>
      <c r="D16" s="338"/>
      <c r="E16" s="338"/>
      <c r="F16" s="339"/>
    </row>
    <row r="17" spans="1:6" ht="12.75">
      <c r="A17" s="346" t="s">
        <v>51</v>
      </c>
      <c r="B17" s="339"/>
      <c r="C17" s="337" t="str">
        <f>_xlfn.IFERROR(Saisie!I6,"")</f>
        <v>justin@lautomatiseur.fr</v>
      </c>
      <c r="D17" s="338"/>
      <c r="E17" s="338"/>
      <c r="F17" s="339"/>
    </row>
    <row r="20" spans="1:6" ht="40.5" customHeight="1">
      <c r="A20" s="347" t="s">
        <v>53</v>
      </c>
      <c r="B20" s="347"/>
      <c r="C20" s="347"/>
      <c r="D20" s="325" t="str">
        <f>UPPER(CONCATENATE("DESCRIPTION SOMMAIRE DE LA ",Saisie!C17))</f>
        <v>DESCRIPTION SOMMAIRE DE LA LOCATION VIDE</v>
      </c>
      <c r="E20" s="326"/>
      <c r="F20" s="326"/>
    </row>
    <row r="21" spans="1:6" ht="12.75">
      <c r="A21" s="327" t="str">
        <f>_xlfn.IFERROR(CONCATENATE(Saisie!F7," ",Saisie!F8," ",Saisie!F9," ",Saisie!F12," ",Saisie!F11," ",Saisie!F10),"")</f>
        <v>25 Rue de Paris 06000 Paris -</v>
      </c>
      <c r="B21" s="328"/>
      <c r="C21" s="329"/>
      <c r="D21" s="336" t="str">
        <f>_xlfn.IFERROR(CONCATENATE(Saisie!F15," de ",Saisie!F19," pièces d'une surface de ",Saisie!F18," avec ",IF(Saisie!F21&lt;&gt;"",Saisie!F21,0)," SDB , ",IF(Saisie!F24&lt;&gt;"",Saisie!F24,0)," SDB avec WC, ",IF(Saisie!F22&lt;&gt;"",Saisie!F22,0)," WC séparé",),"")</f>
        <v>Collectif (appartement) de 3 pièces d'une surface de 65M² avec 1 SDB , 1 SDB avec WC, 1 WC séparé</v>
      </c>
      <c r="E21" s="336"/>
      <c r="F21" s="336"/>
    </row>
    <row r="22" spans="1:6" ht="12.75">
      <c r="A22" s="330"/>
      <c r="B22" s="331"/>
      <c r="C22" s="332"/>
      <c r="D22" s="336"/>
      <c r="E22" s="336"/>
      <c r="F22" s="336"/>
    </row>
    <row r="23" spans="1:6" ht="12.75">
      <c r="A23" s="330"/>
      <c r="B23" s="331"/>
      <c r="C23" s="332"/>
      <c r="D23" s="336"/>
      <c r="E23" s="336"/>
      <c r="F23" s="336"/>
    </row>
    <row r="24" spans="1:6" ht="12.75">
      <c r="A24" s="330"/>
      <c r="B24" s="331"/>
      <c r="C24" s="332"/>
      <c r="D24" s="336"/>
      <c r="E24" s="336"/>
      <c r="F24" s="336"/>
    </row>
    <row r="25" spans="1:6" ht="12.75">
      <c r="A25" s="333"/>
      <c r="B25" s="334"/>
      <c r="C25" s="335"/>
      <c r="D25" s="336"/>
      <c r="E25" s="336"/>
      <c r="F25" s="336"/>
    </row>
    <row r="26" ht="12" customHeight="1"/>
    <row r="27" ht="9.75" customHeight="1">
      <c r="A27" s="8"/>
    </row>
    <row r="28" spans="1:6" ht="330" customHeight="1">
      <c r="A28" s="344">
        <f>IF(Saisie!P17&lt;&gt;"Location vide",Saisie!F47,"")</f>
      </c>
      <c r="B28" s="345"/>
      <c r="C28" s="345"/>
      <c r="D28" s="345"/>
      <c r="E28" s="345"/>
      <c r="F28" s="345"/>
    </row>
    <row r="46" ht="12.75"/>
    <row r="47" ht="12.75"/>
    <row r="48" ht="12.75"/>
    <row r="49" ht="12.75"/>
    <row r="50" ht="12.75"/>
    <row r="51" ht="12.75"/>
    <row r="52" ht="12.75"/>
    <row r="53" ht="12.75"/>
    <row r="73" ht="12.75"/>
    <row r="74" ht="12.75"/>
    <row r="75" ht="12.75"/>
    <row r="76" ht="12.75"/>
    <row r="77" ht="12.75"/>
    <row r="78" ht="12.75"/>
    <row r="79" ht="12.75"/>
    <row r="80" ht="12.75"/>
    <row r="163" ht="12.75"/>
    <row r="164" ht="12.75"/>
    <row r="165" ht="12.75"/>
    <row r="166" ht="12.75"/>
    <row r="167" ht="12.75"/>
  </sheetData>
  <sheetProtection sheet="1" objects="1" scenarios="1"/>
  <mergeCells count="23">
    <mergeCell ref="A1:F1"/>
    <mergeCell ref="A6:F6"/>
    <mergeCell ref="A7:B7"/>
    <mergeCell ref="A8:B8"/>
    <mergeCell ref="A9:B9"/>
    <mergeCell ref="C7:F7"/>
    <mergeCell ref="A28:F28"/>
    <mergeCell ref="A10:B10"/>
    <mergeCell ref="A17:B17"/>
    <mergeCell ref="C17:F17"/>
    <mergeCell ref="A20:C20"/>
    <mergeCell ref="C10:F10"/>
    <mergeCell ref="A14:F14"/>
    <mergeCell ref="A16:B16"/>
    <mergeCell ref="C16:F16"/>
    <mergeCell ref="A15:B15"/>
    <mergeCell ref="D20:F20"/>
    <mergeCell ref="A21:C25"/>
    <mergeCell ref="D21:F25"/>
    <mergeCell ref="C8:F8"/>
    <mergeCell ref="C9:F9"/>
    <mergeCell ref="C2:D2"/>
    <mergeCell ref="C15:F15"/>
  </mergeCells>
  <printOptions horizontalCentered="1"/>
  <pageMargins left="0.11811023622047245" right="0.11811023622047245" top="0.7480314960629921" bottom="0.7480314960629921" header="0.31496062992125984" footer="0.31496062992125984"/>
  <pageSetup fitToHeight="1" fitToWidth="1" horizontalDpi="600" verticalDpi="600" orientation="portrait" paperSize="9" r:id="rId2"/>
  <headerFooter>
    <oddFooter>&amp;C&amp;P/&amp;N&amp;RParaphe :..............................</oddFooter>
  </headerFooter>
  <drawing r:id="rId1"/>
</worksheet>
</file>

<file path=xl/worksheets/sheet8.xml><?xml version="1.0" encoding="utf-8"?>
<worksheet xmlns="http://schemas.openxmlformats.org/spreadsheetml/2006/main" xmlns:r="http://schemas.openxmlformats.org/officeDocument/2006/relationships">
  <sheetPr codeName="Feuil7">
    <pageSetUpPr fitToPage="1"/>
  </sheetPr>
  <dimension ref="A1:F26"/>
  <sheetViews>
    <sheetView zoomScalePageLayoutView="0" workbookViewId="0" topLeftCell="A7">
      <selection activeCell="A11" sqref="A11:F11"/>
    </sheetView>
  </sheetViews>
  <sheetFormatPr defaultColWidth="11.421875" defaultRowHeight="12.75"/>
  <cols>
    <col min="1" max="1" width="25.421875" style="0" customWidth="1"/>
    <col min="6" max="6" width="34.421875" style="0" customWidth="1"/>
  </cols>
  <sheetData>
    <row r="1" spans="1:6" ht="15.75" customHeight="1">
      <c r="A1" s="357"/>
      <c r="B1" s="358" t="s">
        <v>54</v>
      </c>
      <c r="C1" s="358" t="s">
        <v>55</v>
      </c>
      <c r="D1" s="358" t="s">
        <v>56</v>
      </c>
      <c r="E1" s="358" t="s">
        <v>57</v>
      </c>
      <c r="F1" s="356" t="s">
        <v>58</v>
      </c>
    </row>
    <row r="2" spans="1:6" ht="12.75">
      <c r="A2" s="357"/>
      <c r="B2" s="358"/>
      <c r="C2" s="358"/>
      <c r="D2" s="358"/>
      <c r="E2" s="358"/>
      <c r="F2" s="356"/>
    </row>
    <row r="3" spans="1:6" ht="12.75">
      <c r="A3" s="357"/>
      <c r="B3" s="358"/>
      <c r="C3" s="358"/>
      <c r="D3" s="358"/>
      <c r="E3" s="358"/>
      <c r="F3" s="356"/>
    </row>
    <row r="4" spans="1:6" ht="12.75">
      <c r="A4" s="357"/>
      <c r="B4" s="358"/>
      <c r="C4" s="358"/>
      <c r="D4" s="358"/>
      <c r="E4" s="358"/>
      <c r="F4" s="356"/>
    </row>
    <row r="5" spans="1:6" ht="47.25" customHeight="1">
      <c r="A5" s="357"/>
      <c r="B5" s="358"/>
      <c r="C5" s="358"/>
      <c r="D5" s="358"/>
      <c r="E5" s="358"/>
      <c r="F5" s="356"/>
    </row>
    <row r="6" spans="1:6" ht="30" customHeight="1">
      <c r="A6" s="278" t="s">
        <v>323</v>
      </c>
      <c r="B6" s="279"/>
      <c r="C6" s="279"/>
      <c r="D6" s="279"/>
      <c r="E6" s="279"/>
      <c r="F6" s="279"/>
    </row>
    <row r="7" spans="1:6" ht="30" customHeight="1">
      <c r="A7" s="278" t="s">
        <v>324</v>
      </c>
      <c r="B7" s="234"/>
      <c r="C7" s="32"/>
      <c r="D7" s="32"/>
      <c r="E7" s="32"/>
      <c r="F7" s="32"/>
    </row>
    <row r="8" spans="1:6" ht="30" customHeight="1">
      <c r="A8" s="278" t="s">
        <v>325</v>
      </c>
      <c r="B8" s="234"/>
      <c r="C8" s="32"/>
      <c r="D8" s="32"/>
      <c r="E8" s="32"/>
      <c r="F8" s="32"/>
    </row>
    <row r="9" spans="1:6" ht="30" customHeight="1">
      <c r="A9" s="278" t="s">
        <v>326</v>
      </c>
      <c r="B9" s="234"/>
      <c r="C9" s="32"/>
      <c r="D9" s="32"/>
      <c r="E9" s="32"/>
      <c r="F9" s="32"/>
    </row>
    <row r="10" spans="1:6" ht="30" customHeight="1">
      <c r="A10" s="278" t="s">
        <v>327</v>
      </c>
      <c r="B10" s="234"/>
      <c r="C10" s="32"/>
      <c r="D10" s="32"/>
      <c r="E10" s="32"/>
      <c r="F10" s="32"/>
    </row>
    <row r="11" spans="1:6" ht="15.75">
      <c r="A11" s="353" t="s">
        <v>64</v>
      </c>
      <c r="B11" s="354"/>
      <c r="C11" s="354"/>
      <c r="D11" s="354"/>
      <c r="E11" s="354"/>
      <c r="F11" s="355"/>
    </row>
    <row r="12" spans="1:6" ht="12.75">
      <c r="A12" s="28"/>
      <c r="F12" s="24"/>
    </row>
    <row r="13" spans="1:6" ht="12.75">
      <c r="A13" s="28"/>
      <c r="F13" s="24"/>
    </row>
    <row r="14" spans="1:6" ht="12.75">
      <c r="A14" s="28"/>
      <c r="F14" s="24"/>
    </row>
    <row r="15" spans="1:6" ht="12.75">
      <c r="A15" s="28"/>
      <c r="F15" s="24"/>
    </row>
    <row r="16" spans="1:6" ht="12.75">
      <c r="A16" s="28"/>
      <c r="F16" s="24"/>
    </row>
    <row r="17" spans="1:6" ht="12.75">
      <c r="A17" s="28"/>
      <c r="F17" s="24"/>
    </row>
    <row r="18" spans="1:6" ht="12.75">
      <c r="A18" s="28"/>
      <c r="F18" s="24"/>
    </row>
    <row r="19" spans="1:6" ht="12.75">
      <c r="A19" s="28"/>
      <c r="F19" s="24"/>
    </row>
    <row r="20" spans="1:6" ht="12.75">
      <c r="A20" s="28"/>
      <c r="F20" s="24"/>
    </row>
    <row r="21" spans="1:6" ht="12.75">
      <c r="A21" s="28"/>
      <c r="F21" s="24"/>
    </row>
    <row r="22" spans="1:6" ht="12.75">
      <c r="A22" s="28"/>
      <c r="F22" s="24"/>
    </row>
    <row r="23" spans="1:6" ht="12.75">
      <c r="A23" s="28"/>
      <c r="F23" s="24"/>
    </row>
    <row r="24" spans="1:6" ht="12.75">
      <c r="A24" s="28"/>
      <c r="F24" s="24"/>
    </row>
    <row r="25" spans="1:6" ht="12.75">
      <c r="A25" s="28"/>
      <c r="F25" s="24"/>
    </row>
    <row r="26" spans="1:6" ht="12.75">
      <c r="A26" s="29"/>
      <c r="B26" s="30"/>
      <c r="C26" s="30"/>
      <c r="D26" s="30"/>
      <c r="E26" s="30"/>
      <c r="F26" s="31"/>
    </row>
  </sheetData>
  <sheetProtection/>
  <mergeCells count="7">
    <mergeCell ref="A11:F11"/>
    <mergeCell ref="F1:F5"/>
    <mergeCell ref="A1:A5"/>
    <mergeCell ref="B1:B5"/>
    <mergeCell ref="C1:C5"/>
    <mergeCell ref="D1:D5"/>
    <mergeCell ref="E1: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Feuil10">
    <pageSetUpPr fitToPage="1"/>
  </sheetPr>
  <dimension ref="A1:Y41"/>
  <sheetViews>
    <sheetView zoomScalePageLayoutView="0" workbookViewId="0" topLeftCell="A31">
      <selection activeCell="N40" sqref="N40"/>
    </sheetView>
  </sheetViews>
  <sheetFormatPr defaultColWidth="11.421875" defaultRowHeight="12.75"/>
  <cols>
    <col min="1" max="6" width="13.28125" style="0" customWidth="1"/>
    <col min="7" max="10" width="1.7109375" style="0" customWidth="1"/>
    <col min="11" max="11" width="11.421875" style="0" customWidth="1"/>
    <col min="18" max="18" width="0.85546875" style="0" customWidth="1"/>
  </cols>
  <sheetData>
    <row r="1" spans="1:6" ht="19.5" customHeight="1">
      <c r="A1" s="347" t="s">
        <v>61</v>
      </c>
      <c r="B1" s="347"/>
      <c r="C1" s="347"/>
      <c r="D1" s="325" t="s">
        <v>62</v>
      </c>
      <c r="E1" s="326"/>
      <c r="F1" s="326"/>
    </row>
    <row r="2" spans="1:6" ht="19.5" customHeight="1">
      <c r="A2" s="379"/>
      <c r="B2" s="379"/>
      <c r="C2" s="379"/>
      <c r="D2" s="326"/>
      <c r="E2" s="326"/>
      <c r="F2" s="326"/>
    </row>
    <row r="3" spans="1:6" ht="19.5" customHeight="1">
      <c r="A3" s="379"/>
      <c r="B3" s="379"/>
      <c r="C3" s="379"/>
      <c r="D3" s="326"/>
      <c r="E3" s="326"/>
      <c r="F3" s="326"/>
    </row>
    <row r="4" spans="1:6" ht="19.5" customHeight="1">
      <c r="A4" s="379"/>
      <c r="B4" s="379"/>
      <c r="C4" s="379"/>
      <c r="D4" s="326"/>
      <c r="E4" s="326"/>
      <c r="F4" s="326"/>
    </row>
    <row r="5" spans="1:6" ht="19.5" customHeight="1">
      <c r="A5" s="379"/>
      <c r="B5" s="379"/>
      <c r="C5" s="379"/>
      <c r="D5" s="326"/>
      <c r="E5" s="326"/>
      <c r="F5" s="326"/>
    </row>
    <row r="6" spans="1:6" ht="12.75">
      <c r="A6" s="359">
        <f>_xlfn.IFERROR(IF(EDL!C2="DE SORTIE","",Saisie!$C$9),"")</f>
        <v>43946</v>
      </c>
      <c r="B6" s="360"/>
      <c r="C6" s="360"/>
      <c r="D6" s="364">
        <f>_xlfn.IFERROR(IF(EDL!C2="DE SORTIE",Saisie!$C$9,""),"")</f>
      </c>
      <c r="E6" s="364"/>
      <c r="F6" s="364"/>
    </row>
    <row r="7" spans="1:6" ht="12.75">
      <c r="A7" s="360"/>
      <c r="B7" s="360"/>
      <c r="C7" s="360"/>
      <c r="D7" s="364"/>
      <c r="E7" s="364"/>
      <c r="F7" s="364"/>
    </row>
    <row r="8" spans="1:25" ht="15">
      <c r="A8" s="360"/>
      <c r="B8" s="360"/>
      <c r="C8" s="360"/>
      <c r="D8" s="364"/>
      <c r="E8" s="364"/>
      <c r="F8" s="364"/>
      <c r="K8" s="383" t="s">
        <v>173</v>
      </c>
      <c r="L8" s="383"/>
      <c r="M8" s="383"/>
      <c r="N8" s="383"/>
      <c r="O8" s="383"/>
      <c r="P8" s="383"/>
      <c r="Q8" s="383"/>
      <c r="S8" s="383" t="s">
        <v>174</v>
      </c>
      <c r="T8" s="383"/>
      <c r="U8" s="383"/>
      <c r="V8" s="383"/>
      <c r="W8" s="383"/>
      <c r="X8" s="383"/>
      <c r="Y8" s="383"/>
    </row>
    <row r="9" spans="1:6" ht="12.75">
      <c r="A9" s="360"/>
      <c r="B9" s="360"/>
      <c r="C9" s="360"/>
      <c r="D9" s="364"/>
      <c r="E9" s="364"/>
      <c r="F9" s="364"/>
    </row>
    <row r="10" spans="1:6" ht="12.75">
      <c r="A10" s="360"/>
      <c r="B10" s="360"/>
      <c r="C10" s="360"/>
      <c r="D10" s="364"/>
      <c r="E10" s="364"/>
      <c r="F10" s="364"/>
    </row>
    <row r="11" spans="1:25" ht="15" customHeight="1">
      <c r="A11" s="365" t="s">
        <v>161</v>
      </c>
      <c r="B11" s="366"/>
      <c r="C11" s="366"/>
      <c r="D11" s="366"/>
      <c r="E11" s="366"/>
      <c r="F11" s="366"/>
      <c r="K11" s="377" t="s">
        <v>161</v>
      </c>
      <c r="L11" s="378"/>
      <c r="M11" s="378"/>
      <c r="N11" s="378"/>
      <c r="O11" s="378"/>
      <c r="P11" s="378"/>
      <c r="Q11" s="378"/>
      <c r="S11" s="377" t="s">
        <v>159</v>
      </c>
      <c r="T11" s="378"/>
      <c r="U11" s="378"/>
      <c r="V11" s="378"/>
      <c r="W11" s="378"/>
      <c r="X11" s="378"/>
      <c r="Y11" s="378"/>
    </row>
    <row r="12" spans="1:25" ht="15" customHeight="1">
      <c r="A12" s="367"/>
      <c r="B12" s="367"/>
      <c r="C12" s="367"/>
      <c r="D12" s="367"/>
      <c r="E12" s="367"/>
      <c r="F12" s="367"/>
      <c r="K12" s="378"/>
      <c r="L12" s="378"/>
      <c r="M12" s="378"/>
      <c r="N12" s="378"/>
      <c r="O12" s="378"/>
      <c r="P12" s="378"/>
      <c r="Q12" s="378"/>
      <c r="S12" s="378"/>
      <c r="T12" s="378"/>
      <c r="U12" s="378"/>
      <c r="V12" s="378"/>
      <c r="W12" s="378"/>
      <c r="X12" s="378"/>
      <c r="Y12" s="378"/>
    </row>
    <row r="13" spans="1:25" ht="15" customHeight="1">
      <c r="A13" s="367"/>
      <c r="B13" s="367"/>
      <c r="C13" s="367"/>
      <c r="D13" s="367"/>
      <c r="E13" s="367"/>
      <c r="F13" s="367"/>
      <c r="K13" s="378"/>
      <c r="L13" s="378"/>
      <c r="M13" s="378"/>
      <c r="N13" s="378"/>
      <c r="O13" s="378"/>
      <c r="P13" s="378"/>
      <c r="Q13" s="378"/>
      <c r="S13" s="378"/>
      <c r="T13" s="378"/>
      <c r="U13" s="378"/>
      <c r="V13" s="378"/>
      <c r="W13" s="378"/>
      <c r="X13" s="378"/>
      <c r="Y13" s="378"/>
    </row>
    <row r="14" spans="1:25" ht="15" customHeight="1">
      <c r="A14" s="367"/>
      <c r="B14" s="367"/>
      <c r="C14" s="367"/>
      <c r="D14" s="367"/>
      <c r="E14" s="367"/>
      <c r="F14" s="367"/>
      <c r="K14" s="378"/>
      <c r="L14" s="378"/>
      <c r="M14" s="378"/>
      <c r="N14" s="378"/>
      <c r="O14" s="378"/>
      <c r="P14" s="378"/>
      <c r="Q14" s="378"/>
      <c r="S14" s="378"/>
      <c r="T14" s="378"/>
      <c r="U14" s="378"/>
      <c r="V14" s="378"/>
      <c r="W14" s="378"/>
      <c r="X14" s="378"/>
      <c r="Y14" s="378"/>
    </row>
    <row r="15" spans="1:25" ht="15" customHeight="1">
      <c r="A15" s="367"/>
      <c r="B15" s="367"/>
      <c r="C15" s="367"/>
      <c r="D15" s="367"/>
      <c r="E15" s="367"/>
      <c r="F15" s="367"/>
      <c r="K15" s="378"/>
      <c r="L15" s="378"/>
      <c r="M15" s="378"/>
      <c r="N15" s="378"/>
      <c r="O15" s="378"/>
      <c r="P15" s="378"/>
      <c r="Q15" s="378"/>
      <c r="S15" s="378"/>
      <c r="T15" s="378"/>
      <c r="U15" s="378"/>
      <c r="V15" s="378"/>
      <c r="W15" s="378"/>
      <c r="X15" s="378"/>
      <c r="Y15" s="378"/>
    </row>
    <row r="16" spans="1:25" ht="15" customHeight="1">
      <c r="A16" s="367"/>
      <c r="B16" s="367"/>
      <c r="C16" s="367"/>
      <c r="D16" s="367"/>
      <c r="E16" s="367"/>
      <c r="F16" s="367"/>
      <c r="K16" s="378"/>
      <c r="L16" s="378"/>
      <c r="M16" s="378"/>
      <c r="N16" s="378"/>
      <c r="O16" s="378"/>
      <c r="P16" s="378"/>
      <c r="Q16" s="378"/>
      <c r="S16" s="378"/>
      <c r="T16" s="378"/>
      <c r="U16" s="378"/>
      <c r="V16" s="378"/>
      <c r="W16" s="378"/>
      <c r="X16" s="378"/>
      <c r="Y16" s="378"/>
    </row>
    <row r="17" spans="1:25" ht="15" customHeight="1">
      <c r="A17" s="367"/>
      <c r="B17" s="367"/>
      <c r="C17" s="367"/>
      <c r="D17" s="367"/>
      <c r="E17" s="367"/>
      <c r="F17" s="367"/>
      <c r="K17" s="378"/>
      <c r="L17" s="378"/>
      <c r="M17" s="378"/>
      <c r="N17" s="378"/>
      <c r="O17" s="378"/>
      <c r="P17" s="378"/>
      <c r="Q17" s="378"/>
      <c r="S17" s="378"/>
      <c r="T17" s="378"/>
      <c r="U17" s="378"/>
      <c r="V17" s="378"/>
      <c r="W17" s="378"/>
      <c r="X17" s="378"/>
      <c r="Y17" s="378"/>
    </row>
    <row r="18" spans="1:25" ht="15" customHeight="1">
      <c r="A18" s="367"/>
      <c r="B18" s="367"/>
      <c r="C18" s="367"/>
      <c r="D18" s="367"/>
      <c r="E18" s="367"/>
      <c r="F18" s="367"/>
      <c r="K18" s="378"/>
      <c r="L18" s="378"/>
      <c r="M18" s="378"/>
      <c r="N18" s="378"/>
      <c r="O18" s="378"/>
      <c r="P18" s="378"/>
      <c r="Q18" s="378"/>
      <c r="S18" s="378"/>
      <c r="T18" s="378"/>
      <c r="U18" s="378"/>
      <c r="V18" s="378"/>
      <c r="W18" s="378"/>
      <c r="X18" s="378"/>
      <c r="Y18" s="378"/>
    </row>
    <row r="19" spans="1:25" ht="15" customHeight="1">
      <c r="A19" s="367"/>
      <c r="B19" s="367"/>
      <c r="C19" s="367"/>
      <c r="D19" s="367"/>
      <c r="E19" s="367"/>
      <c r="F19" s="367"/>
      <c r="K19" s="378"/>
      <c r="L19" s="378"/>
      <c r="M19" s="378"/>
      <c r="N19" s="378"/>
      <c r="O19" s="378"/>
      <c r="P19" s="378"/>
      <c r="Q19" s="378"/>
      <c r="S19" s="378"/>
      <c r="T19" s="378"/>
      <c r="U19" s="378"/>
      <c r="V19" s="378"/>
      <c r="W19" s="378"/>
      <c r="X19" s="378"/>
      <c r="Y19" s="378"/>
    </row>
    <row r="20" ht="22.5" customHeight="1"/>
    <row r="21" spans="1:6" ht="12.75">
      <c r="A21" s="368" t="s">
        <v>336</v>
      </c>
      <c r="B21" s="369"/>
      <c r="C21" s="369"/>
      <c r="D21" s="369"/>
      <c r="E21" s="369"/>
      <c r="F21" s="370"/>
    </row>
    <row r="22" spans="1:6" ht="12.75">
      <c r="A22" s="371"/>
      <c r="B22" s="372"/>
      <c r="C22" s="372"/>
      <c r="D22" s="372"/>
      <c r="E22" s="372"/>
      <c r="F22" s="373"/>
    </row>
    <row r="23" spans="1:6" ht="12.75">
      <c r="A23" s="371"/>
      <c r="B23" s="372"/>
      <c r="C23" s="372"/>
      <c r="D23" s="372"/>
      <c r="E23" s="372"/>
      <c r="F23" s="373"/>
    </row>
    <row r="24" spans="1:6" ht="12.75">
      <c r="A24" s="374"/>
      <c r="B24" s="375"/>
      <c r="C24" s="375"/>
      <c r="D24" s="375"/>
      <c r="E24" s="375"/>
      <c r="F24" s="376"/>
    </row>
    <row r="27" spans="1:6" ht="12.75">
      <c r="A27" s="41"/>
      <c r="B27" s="36"/>
      <c r="C27" s="36"/>
      <c r="D27" s="36"/>
      <c r="E27" s="36"/>
      <c r="F27" s="37"/>
    </row>
    <row r="28" spans="1:6" ht="12.75">
      <c r="A28" s="380" t="str">
        <f>CONCATENATE("le ",IF(LEN(DAY(Saisie!$C$9))&lt;2,CONCATENATE(0,DAY(Saisie!$C$9)),DAY(Saisie!$C$9)),"/",IF(LEN(MONTH(Saisie!$C$9))&lt;2,CONCATENATE(0,MONTH(Saisie!$C$9)),MONTH(Saisie!$C$9)),"/",YEAR(Saisie!$C$9)," à ",Saisie!$C$10," en 2 originaux dont un remis à chacune des parties qui le reconnait.")</f>
        <v>le 25/04/2020 à PARIS en 2 originaux dont un remis à chacune des parties qui le reconnait.</v>
      </c>
      <c r="B28" s="381"/>
      <c r="C28" s="381"/>
      <c r="D28" s="381"/>
      <c r="E28" s="381"/>
      <c r="F28" s="382"/>
    </row>
    <row r="29" spans="1:6" ht="12.75">
      <c r="A29" s="38"/>
      <c r="B29" s="39"/>
      <c r="C29" s="39"/>
      <c r="D29" s="39"/>
      <c r="E29" s="39"/>
      <c r="F29" s="40"/>
    </row>
    <row r="32" spans="1:17" ht="12.75" customHeight="1">
      <c r="A32" s="325" t="s">
        <v>175</v>
      </c>
      <c r="B32" s="325"/>
      <c r="C32" s="325"/>
      <c r="D32" s="362" t="str">
        <f>IF(Saisie!C17="Colocation Meublée",K32,O32)</f>
        <v>LE LOCATAIRE
Signature précédée de la mention manuscrite
« lu et approuvé »</v>
      </c>
      <c r="E32" s="363"/>
      <c r="F32" s="363"/>
      <c r="K32" s="325" t="s">
        <v>176</v>
      </c>
      <c r="L32" s="326"/>
      <c r="M32" s="326"/>
      <c r="O32" s="325" t="s">
        <v>177</v>
      </c>
      <c r="P32" s="326"/>
      <c r="Q32" s="326"/>
    </row>
    <row r="33" spans="1:17" ht="12.75" customHeight="1">
      <c r="A33" s="326"/>
      <c r="B33" s="326"/>
      <c r="C33" s="326"/>
      <c r="D33" s="363"/>
      <c r="E33" s="363"/>
      <c r="F33" s="363"/>
      <c r="K33" s="326"/>
      <c r="L33" s="326"/>
      <c r="M33" s="326"/>
      <c r="O33" s="326"/>
      <c r="P33" s="326"/>
      <c r="Q33" s="326"/>
    </row>
    <row r="34" spans="1:17" ht="12.75" customHeight="1">
      <c r="A34" s="326"/>
      <c r="B34" s="326"/>
      <c r="C34" s="326"/>
      <c r="D34" s="363"/>
      <c r="E34" s="363"/>
      <c r="F34" s="363"/>
      <c r="K34" s="326"/>
      <c r="L34" s="326"/>
      <c r="M34" s="326"/>
      <c r="O34" s="326"/>
      <c r="P34" s="326"/>
      <c r="Q34" s="326"/>
    </row>
    <row r="35" spans="1:17" ht="12.75" customHeight="1">
      <c r="A35" s="326"/>
      <c r="B35" s="326"/>
      <c r="C35" s="326"/>
      <c r="D35" s="363"/>
      <c r="E35" s="363"/>
      <c r="F35" s="363"/>
      <c r="K35" s="326"/>
      <c r="L35" s="326"/>
      <c r="M35" s="326"/>
      <c r="O35" s="326"/>
      <c r="P35" s="326"/>
      <c r="Q35" s="326"/>
    </row>
    <row r="36" spans="1:17" ht="12.75" customHeight="1">
      <c r="A36" s="326"/>
      <c r="B36" s="326"/>
      <c r="C36" s="326"/>
      <c r="D36" s="363"/>
      <c r="E36" s="363"/>
      <c r="F36" s="363"/>
      <c r="K36" s="326"/>
      <c r="L36" s="326"/>
      <c r="M36" s="326"/>
      <c r="O36" s="326"/>
      <c r="P36" s="326"/>
      <c r="Q36" s="326"/>
    </row>
    <row r="37" spans="1:6" ht="19.5" customHeight="1">
      <c r="A37" s="359"/>
      <c r="B37" s="360"/>
      <c r="C37" s="360"/>
      <c r="D37" s="361"/>
      <c r="E37" s="361"/>
      <c r="F37" s="361"/>
    </row>
    <row r="38" spans="1:6" ht="19.5" customHeight="1">
      <c r="A38" s="360"/>
      <c r="B38" s="360"/>
      <c r="C38" s="360"/>
      <c r="D38" s="361"/>
      <c r="E38" s="361"/>
      <c r="F38" s="361"/>
    </row>
    <row r="39" spans="1:6" ht="19.5" customHeight="1">
      <c r="A39" s="360"/>
      <c r="B39" s="360"/>
      <c r="C39" s="360"/>
      <c r="D39" s="361"/>
      <c r="E39" s="361"/>
      <c r="F39" s="361"/>
    </row>
    <row r="40" spans="1:6" ht="19.5" customHeight="1">
      <c r="A40" s="360"/>
      <c r="B40" s="360"/>
      <c r="C40" s="360"/>
      <c r="D40" s="361"/>
      <c r="E40" s="361"/>
      <c r="F40" s="361"/>
    </row>
    <row r="41" spans="1:6" ht="19.5" customHeight="1">
      <c r="A41" s="360"/>
      <c r="B41" s="360"/>
      <c r="C41" s="360"/>
      <c r="D41" s="361"/>
      <c r="E41" s="361"/>
      <c r="F41" s="361"/>
    </row>
  </sheetData>
  <sheetProtection sheet="1" objects="1" scenarios="1"/>
  <mergeCells count="17">
    <mergeCell ref="K32:M36"/>
    <mergeCell ref="O32:Q36"/>
    <mergeCell ref="K11:Q19"/>
    <mergeCell ref="S11:Y19"/>
    <mergeCell ref="A1:C5"/>
    <mergeCell ref="D1:F5"/>
    <mergeCell ref="A28:F28"/>
    <mergeCell ref="K8:Q8"/>
    <mergeCell ref="S8:Y8"/>
    <mergeCell ref="A37:C41"/>
    <mergeCell ref="D37:F41"/>
    <mergeCell ref="A32:C36"/>
    <mergeCell ref="D32:F36"/>
    <mergeCell ref="A6:C10"/>
    <mergeCell ref="D6:F10"/>
    <mergeCell ref="A11:F19"/>
    <mergeCell ref="A21:F24"/>
  </mergeCells>
  <printOptions horizontalCentered="1"/>
  <pageMargins left="0.11811023622047245" right="0.11811023622047245" top="0.7480314960629921" bottom="0.7480314960629921" header="0.31496062992125984" footer="0.31496062992125984"/>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Automatiseur</dc:creator>
  <cp:keywords/>
  <dc:description/>
  <cp:lastModifiedBy>Justin L</cp:lastModifiedBy>
  <cp:lastPrinted>2020-05-24T21:03:04Z</cp:lastPrinted>
  <dcterms:created xsi:type="dcterms:W3CDTF">2016-05-10T11:05:47Z</dcterms:created>
  <dcterms:modified xsi:type="dcterms:W3CDTF">2020-05-25T20:55:49Z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